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A_Auftraege\2025\2002\C_Forschung\32_Sonstige_Berechnungen\"/>
    </mc:Choice>
  </mc:AlternateContent>
  <xr:revisionPtr revIDLastSave="0" documentId="13_ncr:1_{2E8B68BB-852A-49AE-B021-E67DE64270B1}" xr6:coauthVersionLast="47" xr6:coauthVersionMax="47" xr10:uidLastSave="{00000000-0000-0000-0000-000000000000}"/>
  <bookViews>
    <workbookView xWindow="28680" yWindow="-120" windowWidth="29040" windowHeight="15720" tabRatio="845" xr2:uid="{00000000-000D-0000-FFFF-FFFF00000000}"/>
  </bookViews>
  <sheets>
    <sheet name="GWP-Katalog" sheetId="28" r:id="rId1"/>
    <sheet name="ModulCD" sheetId="37" r:id="rId2"/>
  </sheets>
  <definedNames>
    <definedName name="AbdichtungFestListe">'GWP-Katalog'!$B$180:$B$184</definedName>
    <definedName name="AbdichtungFluessigListe">'GWP-Katalog'!$B$177:$B$179</definedName>
    <definedName name="AsphaltbinderListe">'GWP-Katalog'!$B$338:$B$342</definedName>
    <definedName name="AsphaltdeckschichtListe">'GWP-Katalog'!$B$326:$B$337</definedName>
    <definedName name="AsphalttragschichtListe">'GWP-Katalog'!$B$343:$B$346</definedName>
    <definedName name="BaustahlListe">'GWP-Katalog'!$B$91:$B$102</definedName>
    <definedName name="BeschichtungPhaseAListe">'GWP-Katalog'!$B$104:$B$106</definedName>
    <definedName name="BeschichtungPhaseBListe">'GWP-Katalog'!$B$126:$B$128</definedName>
    <definedName name="BetonListe">'GWP-Katalog'!$B$7:$B$70</definedName>
    <definedName name="BetonstahlListe">'GWP-Katalog'!$B$74:$B$82</definedName>
    <definedName name="bituminöser_Gesamtaufbau">'GWP-Katalog'!$B$354:$B$354</definedName>
    <definedName name="BLWListe">'GWP-Katalog'!$B$224:$B$228</definedName>
    <definedName name="_xlnm.Print_Area" localSheetId="0">'GWP-Katalog'!$A$1:$AF$378</definedName>
    <definedName name="ElastomerlagerListe">'GWP-Katalog'!$B$147:$B$150</definedName>
    <definedName name="ErdbauListe">'GWP-Katalog'!$B$294:$B$298</definedName>
    <definedName name="FUEGListe">'GWP-Katalog'!$B$171:$B$175</definedName>
    <definedName name="GelaenderAluBeschichtetListe">'GWP-Katalog'!$B$237:$B$240</definedName>
    <definedName name="GelaenderAluEloxiertListe">'GWP-Katalog'!$B$241:$B$244</definedName>
    <definedName name="GelaenderEdelstahlListe">'GWP-Katalog'!$B$230:$B$236</definedName>
    <definedName name="GelaenderHolzListe">'GWP-Katalog'!$B$245:$B$247</definedName>
    <definedName name="GeogitterListe">'GWP-Katalog'!$B$316:$B$318</definedName>
    <definedName name="HinterfuellmaterialListe">'GWP-Katalog'!$B$357:$B$365</definedName>
    <definedName name="HolzListe">'GWP-Katalog'!$B$130:$B$141</definedName>
    <definedName name="LSSockelbrettListe">'GWP-Katalog'!$B$312:$B$314</definedName>
    <definedName name="LSWListe">'GWP-Katalog'!$B$255:$B$261</definedName>
    <definedName name="OberbetonListe">'GWP-Katalog'!$B$320:$B$322</definedName>
    <definedName name="PflastersteineListe">'GWP-Katalog'!$B$307:$B$311</definedName>
    <definedName name="RohrmaterialListe">'GWP-Katalog'!$B$189:$B$195</definedName>
    <definedName name="SLWListe">'GWP-Katalog'!$B$206:$B$221</definedName>
    <definedName name="SpannstahlListe">'GWP-Katalog'!$B$85:$B$89</definedName>
    <definedName name="SpritzschutzListe">'GWP-Katalog'!$B$249:$B$251</definedName>
    <definedName name="SpundwandListe">'GWP-Katalog'!$B$271:$B$274</definedName>
    <definedName name="StrassenbelagGesamtListe">'GWP-Katalog'!$B$353:$B$356</definedName>
    <definedName name="TopflagerListe">'GWP-Katalog'!$B$151:$B$157</definedName>
    <definedName name="UnterbetonListe">'GWP-Katalog'!$B$323:$B$325</definedName>
    <definedName name="UOTragschichtListe">'GWP-Katalog'!$B$347:$B$349</definedName>
    <definedName name="UUTragschichtListe">'GWP-Katalog'!$B$350:$B$352</definedName>
    <definedName name="VerfugungListe">'GWP-Katalog'!$B$281:$B$283</definedName>
    <definedName name="WandListe">'GWP-Katalog'!$B$301:$B$306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3" i="28" l="1"/>
  <c r="P313" i="28"/>
  <c r="H321" i="28"/>
  <c r="G314" i="28"/>
  <c r="T223" i="28"/>
  <c r="Z361" i="28" l="1"/>
  <c r="T266" i="28"/>
  <c r="Z362" i="28" l="1"/>
  <c r="M354" i="28"/>
  <c r="H354" i="28"/>
  <c r="T302" i="28"/>
  <c r="N302" i="28" s="1"/>
  <c r="T303" i="28"/>
  <c r="N303" i="28" s="1"/>
  <c r="T304" i="28"/>
  <c r="N304" i="28" s="1"/>
  <c r="P266" i="28"/>
  <c r="T265" i="28"/>
  <c r="P265" i="28"/>
  <c r="T268" i="28"/>
  <c r="P268" i="28" s="1"/>
  <c r="T267" i="28"/>
  <c r="T305" i="28"/>
  <c r="N305" i="28" s="1"/>
  <c r="T310" i="28"/>
  <c r="T309" i="28"/>
  <c r="T255" i="28"/>
  <c r="F251" i="28"/>
  <c r="G251" i="28" s="1"/>
  <c r="T250" i="28"/>
  <c r="P250" i="28" s="1"/>
  <c r="G250" i="28"/>
  <c r="Y97" i="28" l="1"/>
  <c r="L97" i="28"/>
  <c r="H97" i="28"/>
  <c r="T336" i="28" l="1"/>
  <c r="L336" i="28"/>
  <c r="K336" i="28"/>
  <c r="G336" i="28"/>
  <c r="T335" i="28"/>
  <c r="L335" i="28"/>
  <c r="K335" i="28"/>
  <c r="G335" i="28"/>
  <c r="F356" i="28"/>
  <c r="G356" i="28" s="1"/>
  <c r="F337" i="28"/>
  <c r="T159" i="28"/>
  <c r="P335" i="28" l="1"/>
  <c r="P336" i="28"/>
  <c r="T259" i="28"/>
  <c r="F354" i="28"/>
  <c r="T359" i="28"/>
  <c r="N359" i="28" s="1"/>
  <c r="T358" i="28"/>
  <c r="G302" i="28"/>
  <c r="G303" i="28"/>
  <c r="G304" i="28"/>
  <c r="G305" i="28"/>
  <c r="G310" i="28"/>
  <c r="G309" i="28"/>
  <c r="T317" i="28" l="1"/>
  <c r="T194" i="28" l="1"/>
  <c r="T192" i="28"/>
  <c r="T191" i="28"/>
  <c r="T190" i="28"/>
  <c r="P190" i="28" s="1"/>
  <c r="N190" i="28" s="1"/>
  <c r="T273" i="28"/>
  <c r="T272" i="28"/>
  <c r="T279" i="28"/>
  <c r="T278" i="28"/>
  <c r="H294" i="28"/>
  <c r="H351" i="28" s="1"/>
  <c r="H295" i="28"/>
  <c r="H348" i="28" s="1"/>
  <c r="H297" i="28"/>
  <c r="T292" i="28"/>
  <c r="T293" i="28"/>
  <c r="T291" i="28"/>
  <c r="T182" i="28" l="1"/>
  <c r="T179" i="28"/>
  <c r="H179" i="28"/>
  <c r="T178" i="28"/>
  <c r="H178" i="28"/>
  <c r="L138" i="28"/>
  <c r="L137" i="28"/>
  <c r="L136" i="28"/>
  <c r="L134" i="28"/>
  <c r="X126" i="28"/>
  <c r="H126" i="28"/>
  <c r="T125" i="28"/>
  <c r="T126" i="28" s="1"/>
  <c r="L66" i="28"/>
  <c r="K66" i="28"/>
  <c r="H66" i="28"/>
  <c r="G355" i="28"/>
  <c r="G255" i="28" l="1"/>
  <c r="G257" i="28"/>
  <c r="T225" i="28"/>
  <c r="T226" i="28"/>
  <c r="T227" i="28"/>
  <c r="T224" i="28"/>
  <c r="L225" i="28"/>
  <c r="L226" i="28"/>
  <c r="L227" i="28"/>
  <c r="L224" i="28"/>
  <c r="K225" i="28"/>
  <c r="K226" i="28"/>
  <c r="K227" i="28"/>
  <c r="K224" i="28"/>
  <c r="H225" i="28"/>
  <c r="H226" i="28"/>
  <c r="H227" i="28"/>
  <c r="H224" i="28"/>
  <c r="G328" i="28" l="1"/>
  <c r="M355" i="28" s="1"/>
  <c r="G329" i="28"/>
  <c r="G330" i="28"/>
  <c r="G331" i="28"/>
  <c r="G332" i="28"/>
  <c r="G333" i="28"/>
  <c r="G334" i="28"/>
  <c r="G327" i="28"/>
  <c r="G313" i="28"/>
  <c r="G345" i="28"/>
  <c r="G340" i="28"/>
  <c r="G341" i="28"/>
  <c r="N327" i="28"/>
  <c r="T328" i="28"/>
  <c r="T329" i="28" s="1"/>
  <c r="T330" i="28" s="1"/>
  <c r="T331" i="28" s="1"/>
  <c r="T332" i="28" s="1"/>
  <c r="T333" i="28" s="1"/>
  <c r="L328" i="28"/>
  <c r="L355" i="28" s="1"/>
  <c r="K328" i="28"/>
  <c r="K355" i="28" s="1"/>
  <c r="W345" i="28"/>
  <c r="V345" i="28"/>
  <c r="U345" i="28"/>
  <c r="T345" i="28"/>
  <c r="L345" i="28"/>
  <c r="K345" i="28"/>
  <c r="U340" i="28"/>
  <c r="V340" i="28"/>
  <c r="W340" i="28"/>
  <c r="T340" i="28"/>
  <c r="L340" i="28"/>
  <c r="K340" i="28"/>
  <c r="T66" i="28"/>
  <c r="L329" i="28" l="1"/>
  <c r="L330" i="28" s="1"/>
  <c r="L331" i="28" s="1"/>
  <c r="L332" i="28" s="1"/>
  <c r="L333" i="28" s="1"/>
  <c r="U341" i="28"/>
  <c r="U354" i="28" s="1"/>
  <c r="W341" i="28"/>
  <c r="W354" i="28" s="1"/>
  <c r="V341" i="28"/>
  <c r="V354" i="28" s="1"/>
  <c r="P345" i="28"/>
  <c r="K341" i="28"/>
  <c r="N328" i="28"/>
  <c r="P328" i="28"/>
  <c r="K329" i="28"/>
  <c r="T341" i="28"/>
  <c r="T354" i="28" s="1"/>
  <c r="P340" i="28"/>
  <c r="L341" i="28"/>
  <c r="AC277" i="28"/>
  <c r="AE277" i="28"/>
  <c r="AF277" i="28"/>
  <c r="Y277" i="28"/>
  <c r="AA277" i="28"/>
  <c r="AB277" i="28"/>
  <c r="K277" i="28"/>
  <c r="L277" i="28"/>
  <c r="H277" i="28"/>
  <c r="H101" i="28"/>
  <c r="T96" i="28"/>
  <c r="P96" i="28" s="1"/>
  <c r="T93" i="28"/>
  <c r="L334" i="28" l="1"/>
  <c r="L354" i="28"/>
  <c r="H205" i="28"/>
  <c r="H209" i="28" s="1"/>
  <c r="H160" i="28"/>
  <c r="P341" i="28"/>
  <c r="N329" i="28"/>
  <c r="K330" i="28"/>
  <c r="P329" i="28"/>
  <c r="T8" i="28"/>
  <c r="N8" i="28" s="1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H8" i="28"/>
  <c r="P8" i="28" s="1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K331" i="28" l="1"/>
  <c r="N330" i="28"/>
  <c r="P330" i="28"/>
  <c r="P30" i="28"/>
  <c r="P12" i="28"/>
  <c r="P27" i="28"/>
  <c r="P21" i="28"/>
  <c r="P15" i="28"/>
  <c r="P9" i="28"/>
  <c r="P23" i="28"/>
  <c r="P14" i="28"/>
  <c r="P24" i="28"/>
  <c r="P18" i="28"/>
  <c r="P26" i="28"/>
  <c r="P17" i="28"/>
  <c r="P29" i="28"/>
  <c r="P20" i="28"/>
  <c r="P11" i="28"/>
  <c r="P31" i="28"/>
  <c r="P28" i="28"/>
  <c r="P25" i="28"/>
  <c r="P22" i="28"/>
  <c r="P19" i="28"/>
  <c r="P16" i="28"/>
  <c r="P13" i="28"/>
  <c r="P10" i="28"/>
  <c r="H206" i="28"/>
  <c r="X209" i="28"/>
  <c r="K209" i="28"/>
  <c r="X210" i="28"/>
  <c r="K210" i="28"/>
  <c r="X208" i="28"/>
  <c r="K208" i="28"/>
  <c r="X211" i="28"/>
  <c r="K211" i="28"/>
  <c r="X212" i="28"/>
  <c r="K212" i="28"/>
  <c r="X213" i="28"/>
  <c r="K213" i="28"/>
  <c r="X214" i="28"/>
  <c r="K214" i="28"/>
  <c r="L269" i="28"/>
  <c r="F311" i="28"/>
  <c r="K332" i="28" l="1"/>
  <c r="N331" i="28"/>
  <c r="P331" i="28"/>
  <c r="K333" i="28" l="1"/>
  <c r="K354" i="28" s="1"/>
  <c r="N332" i="28"/>
  <c r="P332" i="28"/>
  <c r="N11" i="28"/>
  <c r="N20" i="28"/>
  <c r="N29" i="28"/>
  <c r="N14" i="28"/>
  <c r="N23" i="28"/>
  <c r="N17" i="28"/>
  <c r="N26" i="28"/>
  <c r="N12" i="28"/>
  <c r="N9" i="28"/>
  <c r="N22" i="28"/>
  <c r="N30" i="28"/>
  <c r="N19" i="28"/>
  <c r="N24" i="28"/>
  <c r="N10" i="28"/>
  <c r="N15" i="28"/>
  <c r="N27" i="28"/>
  <c r="N13" i="28"/>
  <c r="N16" i="28"/>
  <c r="N28" i="28"/>
  <c r="N25" i="28"/>
  <c r="N21" i="28"/>
  <c r="N18" i="28"/>
  <c r="N31" i="28"/>
  <c r="N354" i="28" l="1"/>
  <c r="P354" i="28"/>
  <c r="K334" i="28"/>
  <c r="N333" i="28"/>
  <c r="P333" i="28"/>
  <c r="N334" i="28" l="1"/>
  <c r="P334" i="28"/>
  <c r="T98" i="28"/>
  <c r="T277" i="28" s="1"/>
  <c r="H105" i="28" l="1"/>
  <c r="P110" i="28"/>
  <c r="H111" i="28" l="1"/>
  <c r="T256" i="28" l="1"/>
  <c r="T294" i="28" l="1"/>
  <c r="L194" i="28"/>
  <c r="L193" i="28"/>
  <c r="L192" i="28"/>
  <c r="L191" i="28"/>
  <c r="L183" i="28"/>
  <c r="L179" i="28"/>
  <c r="L178" i="28"/>
  <c r="H210" i="28" l="1"/>
  <c r="H211" i="28"/>
  <c r="H208" i="28"/>
  <c r="H213" i="28"/>
  <c r="H212" i="28"/>
  <c r="H214" i="28"/>
  <c r="L131" i="28"/>
  <c r="K133" i="28"/>
  <c r="K127" i="28"/>
  <c r="L127" i="28"/>
  <c r="H113" i="28"/>
  <c r="P127" i="28" l="1"/>
  <c r="K218" i="28"/>
  <c r="X215" i="28" l="1"/>
  <c r="H215" i="28"/>
  <c r="X218" i="28"/>
  <c r="H218" i="28"/>
  <c r="K215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324" i="28"/>
  <c r="T54" i="28"/>
  <c r="T55" i="28"/>
  <c r="T56" i="28"/>
  <c r="T57" i="28"/>
  <c r="T58" i="28"/>
  <c r="T59" i="28"/>
  <c r="T60" i="28"/>
  <c r="T61" i="28"/>
  <c r="T321" i="28"/>
  <c r="D272" i="28"/>
  <c r="F272" i="28" s="1"/>
  <c r="G272" i="28" s="1"/>
  <c r="D273" i="28"/>
  <c r="F273" i="28" s="1"/>
  <c r="G273" i="28" s="1"/>
  <c r="T139" i="28"/>
  <c r="T135" i="28"/>
  <c r="T132" i="28"/>
  <c r="H355" i="28" l="1"/>
  <c r="N355" i="28" s="1"/>
  <c r="P58" i="28"/>
  <c r="P56" i="28"/>
  <c r="P57" i="28"/>
  <c r="P60" i="28"/>
  <c r="P59" i="28"/>
  <c r="P55" i="28"/>
  <c r="P61" i="28"/>
  <c r="P321" i="28"/>
  <c r="P54" i="28"/>
  <c r="F274" i="28"/>
  <c r="G274" i="28" l="1"/>
  <c r="F270" i="28"/>
  <c r="G270" i="28" s="1"/>
  <c r="O7" i="37"/>
  <c r="S3" i="37"/>
  <c r="T3" i="37"/>
  <c r="O6" i="37"/>
  <c r="Y360" i="28"/>
  <c r="T360" i="28"/>
  <c r="L360" i="28"/>
  <c r="K360" i="28"/>
  <c r="N360" i="28" s="1"/>
  <c r="G360" i="28"/>
  <c r="U3" i="37" l="1"/>
  <c r="P98" i="28" l="1"/>
  <c r="P99" i="28"/>
  <c r="P100" i="28"/>
  <c r="P305" i="28" l="1"/>
  <c r="N358" i="28"/>
  <c r="X193" i="28" l="1"/>
  <c r="G181" i="28"/>
  <c r="H181" i="28"/>
  <c r="I181" i="28"/>
  <c r="J181" i="28"/>
  <c r="K181" i="28"/>
  <c r="G182" i="28"/>
  <c r="L182" i="28"/>
  <c r="L181" i="28" s="1"/>
  <c r="T181" i="28"/>
  <c r="G183" i="28"/>
  <c r="H183" i="28"/>
  <c r="T183" i="28"/>
  <c r="G354" i="28"/>
  <c r="H207" i="28"/>
  <c r="H216" i="28"/>
  <c r="H217" i="28"/>
  <c r="H219" i="28"/>
  <c r="H220" i="28"/>
  <c r="G205" i="28"/>
  <c r="N56" i="28" l="1"/>
  <c r="N59" i="28"/>
  <c r="N60" i="28"/>
  <c r="N55" i="28"/>
  <c r="N321" i="28"/>
  <c r="N57" i="28"/>
  <c r="N61" i="28"/>
  <c r="N58" i="28"/>
  <c r="N54" i="28"/>
  <c r="P183" i="28"/>
  <c r="P182" i="28"/>
  <c r="P181" i="28"/>
  <c r="G344" i="28" l="1"/>
  <c r="G339" i="28"/>
  <c r="T260" i="28"/>
  <c r="H260" i="28"/>
  <c r="G260" i="28"/>
  <c r="T257" i="28"/>
  <c r="T269" i="28"/>
  <c r="H269" i="28"/>
  <c r="N282" i="28"/>
  <c r="H282" i="28"/>
  <c r="K282" i="28"/>
  <c r="L282" i="28"/>
  <c r="T238" i="28"/>
  <c r="H239" i="28"/>
  <c r="L233" i="28"/>
  <c r="K231" i="28"/>
  <c r="K207" i="28"/>
  <c r="K216" i="28"/>
  <c r="K217" i="28"/>
  <c r="K219" i="28"/>
  <c r="K220" i="28"/>
  <c r="K206" i="28"/>
  <c r="G179" i="28"/>
  <c r="G178" i="28"/>
  <c r="H154" i="28"/>
  <c r="X161" i="28"/>
  <c r="K154" i="28"/>
  <c r="K155" i="28"/>
  <c r="K156" i="28"/>
  <c r="K153" i="28"/>
  <c r="K152" i="28"/>
  <c r="K151" i="28"/>
  <c r="K148" i="28"/>
  <c r="K149" i="28"/>
  <c r="K147" i="28"/>
  <c r="K132" i="28"/>
  <c r="P132" i="28" s="1"/>
  <c r="K134" i="28"/>
  <c r="K135" i="28"/>
  <c r="K136" i="28"/>
  <c r="K137" i="28"/>
  <c r="K138" i="28"/>
  <c r="K131" i="28"/>
  <c r="H242" i="28" l="1"/>
  <c r="H241" i="28"/>
  <c r="H153" i="28"/>
  <c r="H151" i="28"/>
  <c r="H238" i="28"/>
  <c r="H156" i="28"/>
  <c r="H152" i="28"/>
  <c r="T237" i="28"/>
  <c r="H155" i="28"/>
  <c r="H237" i="28"/>
  <c r="T239" i="28"/>
  <c r="H243" i="28"/>
  <c r="P140" i="28" l="1"/>
  <c r="P139" i="28"/>
  <c r="P135" i="28"/>
  <c r="K272" i="28" l="1"/>
  <c r="K273" i="28" s="1"/>
  <c r="H245" i="28"/>
  <c r="O9" i="37"/>
  <c r="K278" i="28"/>
  <c r="K279" i="28" s="1"/>
  <c r="T147" i="28"/>
  <c r="X339" i="28" l="1"/>
  <c r="X340" i="28" s="1"/>
  <c r="X341" i="28" s="1"/>
  <c r="X327" i="28"/>
  <c r="X328" i="28" s="1"/>
  <c r="X329" i="28" s="1"/>
  <c r="X330" i="28" s="1"/>
  <c r="X331" i="28" s="1"/>
  <c r="X332" i="28" s="1"/>
  <c r="X333" i="28" s="1"/>
  <c r="X334" i="28" s="1"/>
  <c r="X335" i="28" s="1"/>
  <c r="X336" i="28" s="1"/>
  <c r="X344" i="28"/>
  <c r="X345" i="28" s="1"/>
  <c r="X182" i="28"/>
  <c r="X181" i="28" s="1"/>
  <c r="X183" i="28"/>
  <c r="X179" i="28"/>
  <c r="X178" i="28"/>
  <c r="AB174" i="28"/>
  <c r="AB173" i="28"/>
  <c r="AA174" i="28"/>
  <c r="AA173" i="28"/>
  <c r="I173" i="28"/>
  <c r="J173" i="28"/>
  <c r="K173" i="28"/>
  <c r="L173" i="28"/>
  <c r="I174" i="28"/>
  <c r="J174" i="28"/>
  <c r="K174" i="28"/>
  <c r="L174" i="28"/>
  <c r="H174" i="28"/>
  <c r="H173" i="28"/>
  <c r="X354" i="28" l="1"/>
  <c r="F77" i="28"/>
  <c r="Y101" i="28"/>
  <c r="Y88" i="28" l="1"/>
  <c r="E361" i="28"/>
  <c r="F361" i="28"/>
  <c r="H361" i="28"/>
  <c r="I361" i="28"/>
  <c r="J361" i="28"/>
  <c r="K361" i="28"/>
  <c r="L361" i="28"/>
  <c r="M361" i="28"/>
  <c r="O361" i="28"/>
  <c r="Q361" i="28"/>
  <c r="R361" i="28"/>
  <c r="S361" i="28"/>
  <c r="U361" i="28"/>
  <c r="V361" i="28"/>
  <c r="W361" i="28"/>
  <c r="Y361" i="28"/>
  <c r="AA361" i="28"/>
  <c r="AB361" i="28"/>
  <c r="AC361" i="28"/>
  <c r="AD361" i="28"/>
  <c r="AE361" i="28"/>
  <c r="AF361" i="28"/>
  <c r="E362" i="28"/>
  <c r="F362" i="28"/>
  <c r="H362" i="28"/>
  <c r="I362" i="28"/>
  <c r="J362" i="28"/>
  <c r="K362" i="28"/>
  <c r="L362" i="28"/>
  <c r="M362" i="28"/>
  <c r="O362" i="28"/>
  <c r="Q362" i="28"/>
  <c r="R362" i="28"/>
  <c r="S362" i="28"/>
  <c r="U362" i="28"/>
  <c r="V362" i="28"/>
  <c r="W362" i="28"/>
  <c r="Y362" i="28"/>
  <c r="AA362" i="28"/>
  <c r="AB362" i="28"/>
  <c r="AC362" i="28"/>
  <c r="AD362" i="28"/>
  <c r="AE362" i="28"/>
  <c r="AF362" i="28"/>
  <c r="E363" i="28"/>
  <c r="F363" i="28"/>
  <c r="H363" i="28"/>
  <c r="I363" i="28"/>
  <c r="J363" i="28"/>
  <c r="K363" i="28"/>
  <c r="L363" i="28"/>
  <c r="M363" i="28"/>
  <c r="O363" i="28"/>
  <c r="Q363" i="28"/>
  <c r="R363" i="28"/>
  <c r="S363" i="28"/>
  <c r="U363" i="28"/>
  <c r="V363" i="28"/>
  <c r="W363" i="28"/>
  <c r="Y363" i="28"/>
  <c r="Z363" i="28"/>
  <c r="AA363" i="28"/>
  <c r="AB363" i="28"/>
  <c r="AC363" i="28"/>
  <c r="AD363" i="28"/>
  <c r="AE363" i="28"/>
  <c r="AF363" i="28"/>
  <c r="E364" i="28"/>
  <c r="F364" i="28"/>
  <c r="H364" i="28"/>
  <c r="I364" i="28"/>
  <c r="J364" i="28"/>
  <c r="K364" i="28"/>
  <c r="L364" i="28"/>
  <c r="M364" i="28"/>
  <c r="O364" i="28"/>
  <c r="Q364" i="28"/>
  <c r="R364" i="28"/>
  <c r="S364" i="28"/>
  <c r="U364" i="28"/>
  <c r="V364" i="28"/>
  <c r="W364" i="28"/>
  <c r="Y364" i="28"/>
  <c r="Z364" i="28"/>
  <c r="AA364" i="28"/>
  <c r="AB364" i="28"/>
  <c r="AC364" i="28"/>
  <c r="AD364" i="28"/>
  <c r="AE364" i="28"/>
  <c r="AF364" i="28"/>
  <c r="C362" i="28"/>
  <c r="C363" i="28"/>
  <c r="C364" i="28"/>
  <c r="C361" i="28"/>
  <c r="H232" i="28"/>
  <c r="N290" i="28"/>
  <c r="N291" i="28"/>
  <c r="N292" i="28"/>
  <c r="N293" i="28"/>
  <c r="N289" i="28"/>
  <c r="N288" i="28"/>
  <c r="N287" i="28"/>
  <c r="N286" i="28"/>
  <c r="N295" i="28"/>
  <c r="N296" i="28"/>
  <c r="N363" i="28" s="1"/>
  <c r="N297" i="28"/>
  <c r="N364" i="28" s="1"/>
  <c r="N294" i="28"/>
  <c r="N361" i="28" s="1"/>
  <c r="N362" i="28" l="1"/>
  <c r="G174" i="28"/>
  <c r="F175" i="28" l="1"/>
  <c r="G173" i="28"/>
  <c r="G175" i="28" l="1"/>
  <c r="P257" i="28" l="1"/>
  <c r="L258" i="28"/>
  <c r="F258" i="28"/>
  <c r="O258" i="28"/>
  <c r="Q258" i="28"/>
  <c r="R258" i="28"/>
  <c r="S258" i="28"/>
  <c r="U258" i="28"/>
  <c r="V258" i="28"/>
  <c r="W258" i="28"/>
  <c r="I258" i="28"/>
  <c r="J258" i="28"/>
  <c r="K258" i="28"/>
  <c r="H258" i="28"/>
  <c r="N257" i="28" l="1"/>
  <c r="P255" i="28"/>
  <c r="H233" i="28"/>
  <c r="N255" i="28" l="1"/>
  <c r="L235" i="28" l="1"/>
  <c r="K235" i="28"/>
  <c r="H235" i="28"/>
  <c r="X256" i="28"/>
  <c r="P256" i="28" l="1"/>
  <c r="P260" i="28"/>
  <c r="T36" i="28"/>
  <c r="P36" i="28" s="1"/>
  <c r="H231" i="28"/>
  <c r="N256" i="28" l="1"/>
  <c r="K95" i="28"/>
  <c r="K97" i="28" s="1"/>
  <c r="H114" i="28" l="1"/>
  <c r="H112" i="28" s="1"/>
  <c r="P125" i="28"/>
  <c r="N125" i="28" s="1"/>
  <c r="P124" i="28"/>
  <c r="N124" i="28" s="1"/>
  <c r="K243" i="28" l="1"/>
  <c r="K242" i="28"/>
  <c r="K241" i="28"/>
  <c r="L243" i="28"/>
  <c r="L242" i="28"/>
  <c r="L241" i="28"/>
  <c r="L239" i="28"/>
  <c r="L238" i="28"/>
  <c r="L237" i="28"/>
  <c r="K239" i="28"/>
  <c r="K238" i="28"/>
  <c r="K237" i="28"/>
  <c r="X279" i="28"/>
  <c r="K232" i="28"/>
  <c r="L232" i="28"/>
  <c r="K233" i="28"/>
  <c r="H234" i="28"/>
  <c r="K234" i="28"/>
  <c r="L234" i="28"/>
  <c r="L231" i="28"/>
  <c r="P278" i="28" l="1"/>
  <c r="T242" i="28" l="1"/>
  <c r="T243" i="28"/>
  <c r="T241" i="28"/>
  <c r="P279" i="28"/>
  <c r="N127" i="28"/>
  <c r="T39" i="28" l="1"/>
  <c r="P39" i="28" s="1"/>
  <c r="T40" i="28"/>
  <c r="P40" i="28" s="1"/>
  <c r="T41" i="28"/>
  <c r="P41" i="28" s="1"/>
  <c r="T42" i="28"/>
  <c r="P42" i="28" s="1"/>
  <c r="T43" i="28"/>
  <c r="P43" i="28" s="1"/>
  <c r="T44" i="28"/>
  <c r="P44" i="28" s="1"/>
  <c r="T45" i="28"/>
  <c r="P45" i="28" s="1"/>
  <c r="T46" i="28"/>
  <c r="P46" i="28" s="1"/>
  <c r="T47" i="28"/>
  <c r="P47" i="28" s="1"/>
  <c r="T48" i="28"/>
  <c r="P48" i="28" s="1"/>
  <c r="T49" i="28"/>
  <c r="P49" i="28" s="1"/>
  <c r="T50" i="28"/>
  <c r="P50" i="28" s="1"/>
  <c r="T51" i="28"/>
  <c r="P51" i="28" s="1"/>
  <c r="T52" i="28"/>
  <c r="P52" i="28" s="1"/>
  <c r="T53" i="28"/>
  <c r="P53" i="28" s="1"/>
  <c r="T324" i="28"/>
  <c r="T62" i="28"/>
  <c r="P62" i="28" s="1"/>
  <c r="T63" i="28"/>
  <c r="P63" i="28" s="1"/>
  <c r="T64" i="28"/>
  <c r="P64" i="28" s="1"/>
  <c r="T65" i="28"/>
  <c r="P65" i="28" s="1"/>
  <c r="T32" i="28"/>
  <c r="P32" i="28" s="1"/>
  <c r="T33" i="28"/>
  <c r="P33" i="28" s="1"/>
  <c r="T34" i="28"/>
  <c r="P34" i="28" s="1"/>
  <c r="T35" i="28"/>
  <c r="T37" i="28"/>
  <c r="P37" i="28" s="1"/>
  <c r="T38" i="28"/>
  <c r="P38" i="28" s="1"/>
  <c r="T355" i="28" l="1"/>
  <c r="P355" i="28" s="1"/>
  <c r="P324" i="28"/>
  <c r="P35" i="28"/>
  <c r="N66" i="28"/>
  <c r="P66" i="28"/>
  <c r="N324" i="28"/>
  <c r="N46" i="28"/>
  <c r="N45" i="28"/>
  <c r="N53" i="28"/>
  <c r="N64" i="28"/>
  <c r="N50" i="28"/>
  <c r="N42" i="28"/>
  <c r="N63" i="28"/>
  <c r="N49" i="28"/>
  <c r="N41" i="28"/>
  <c r="N39" i="28"/>
  <c r="N62" i="28"/>
  <c r="N52" i="28"/>
  <c r="N48" i="28"/>
  <c r="N44" i="28"/>
  <c r="N40" i="28"/>
  <c r="N65" i="28"/>
  <c r="N51" i="28"/>
  <c r="N47" i="28"/>
  <c r="N43" i="28"/>
  <c r="L88" i="28"/>
  <c r="K88" i="28"/>
  <c r="H88" i="28"/>
  <c r="T87" i="28"/>
  <c r="P87" i="28" s="1"/>
  <c r="T86" i="28"/>
  <c r="P93" i="28"/>
  <c r="T92" i="28"/>
  <c r="P92" i="28" s="1"/>
  <c r="L94" i="28"/>
  <c r="T101" i="28"/>
  <c r="L101" i="28"/>
  <c r="K101" i="28"/>
  <c r="K94" i="28"/>
  <c r="H94" i="28"/>
  <c r="Y81" i="28"/>
  <c r="Y79" i="28"/>
  <c r="Y80" i="28" s="1"/>
  <c r="Y76" i="28"/>
  <c r="Z79" i="28"/>
  <c r="Z80" i="28" s="1"/>
  <c r="Z77" i="28"/>
  <c r="L80" i="28"/>
  <c r="K80" i="28"/>
  <c r="H80" i="28"/>
  <c r="T81" i="28"/>
  <c r="P81" i="28" s="1"/>
  <c r="T79" i="28"/>
  <c r="P79" i="28" s="1"/>
  <c r="T78" i="28"/>
  <c r="P78" i="28" s="1"/>
  <c r="K77" i="28"/>
  <c r="L77" i="28"/>
  <c r="H77" i="28"/>
  <c r="T76" i="28"/>
  <c r="P76" i="28" s="1"/>
  <c r="T75" i="28"/>
  <c r="P75" i="28" s="1"/>
  <c r="O13" i="37"/>
  <c r="X255" i="28" s="1"/>
  <c r="O12" i="37"/>
  <c r="O8" i="37"/>
  <c r="O5" i="37"/>
  <c r="X273" i="28" s="1"/>
  <c r="O4" i="37"/>
  <c r="B98" i="37"/>
  <c r="I92" i="37"/>
  <c r="B92" i="37"/>
  <c r="B84" i="37"/>
  <c r="B79" i="37"/>
  <c r="M11" i="37" s="1"/>
  <c r="B74" i="37"/>
  <c r="B68" i="37"/>
  <c r="B67" i="37"/>
  <c r="B61" i="37"/>
  <c r="B56" i="37"/>
  <c r="B62" i="37" s="1"/>
  <c r="B55" i="37"/>
  <c r="B50" i="37"/>
  <c r="B49" i="37"/>
  <c r="M6" i="37" s="1"/>
  <c r="B46" i="37"/>
  <c r="B43" i="37"/>
  <c r="B42" i="37"/>
  <c r="B28" i="37"/>
  <c r="M12" i="37" l="1"/>
  <c r="O15" i="37"/>
  <c r="X259" i="28" s="1"/>
  <c r="O3" i="37"/>
  <c r="O14" i="37" s="1"/>
  <c r="P101" i="28"/>
  <c r="X243" i="28"/>
  <c r="X241" i="28"/>
  <c r="X242" i="28"/>
  <c r="X238" i="28"/>
  <c r="X237" i="28"/>
  <c r="X65" i="28"/>
  <c r="X52" i="28"/>
  <c r="X62" i="28"/>
  <c r="X37" i="28"/>
  <c r="X42" i="28"/>
  <c r="X64" i="28"/>
  <c r="X133" i="28"/>
  <c r="X137" i="28"/>
  <c r="X134" i="28"/>
  <c r="X138" i="28"/>
  <c r="X132" i="28"/>
  <c r="X140" i="28"/>
  <c r="X135" i="28"/>
  <c r="X139" i="28"/>
  <c r="X136" i="28"/>
  <c r="X76" i="28"/>
  <c r="X239" i="28"/>
  <c r="O10" i="37"/>
  <c r="X260" i="28"/>
  <c r="T88" i="28"/>
  <c r="T94" i="28"/>
  <c r="P94" i="28" s="1"/>
  <c r="Y77" i="28"/>
  <c r="X77" i="28" s="1"/>
  <c r="X80" i="28"/>
  <c r="T80" i="28"/>
  <c r="P80" i="28" s="1"/>
  <c r="T77" i="28"/>
  <c r="X79" i="28"/>
  <c r="B85" i="37"/>
  <c r="X49" i="28" l="1"/>
  <c r="X305" i="28"/>
  <c r="X359" i="28"/>
  <c r="X23" i="28"/>
  <c r="X9" i="28"/>
  <c r="X12" i="28"/>
  <c r="X15" i="28"/>
  <c r="X18" i="28"/>
  <c r="X21" i="28"/>
  <c r="X24" i="28"/>
  <c r="X27" i="28"/>
  <c r="X30" i="28"/>
  <c r="X10" i="28"/>
  <c r="X13" i="28"/>
  <c r="X16" i="28"/>
  <c r="X19" i="28"/>
  <c r="X22" i="28"/>
  <c r="X25" i="28"/>
  <c r="X28" i="28"/>
  <c r="X31" i="28"/>
  <c r="X8" i="28"/>
  <c r="X11" i="28"/>
  <c r="X14" i="28"/>
  <c r="X17" i="28"/>
  <c r="X20" i="28"/>
  <c r="X26" i="28"/>
  <c r="X29" i="28"/>
  <c r="X63" i="28"/>
  <c r="X51" i="28"/>
  <c r="X53" i="28"/>
  <c r="X265" i="28"/>
  <c r="X282" i="28"/>
  <c r="X360" i="28"/>
  <c r="X57" i="28"/>
  <c r="X60" i="28"/>
  <c r="X58" i="28"/>
  <c r="X61" i="28"/>
  <c r="X56" i="28"/>
  <c r="X59" i="28"/>
  <c r="X321" i="28"/>
  <c r="X54" i="28"/>
  <c r="X55" i="28"/>
  <c r="X324" i="28"/>
  <c r="X355" i="28" s="1"/>
  <c r="X48" i="28"/>
  <c r="X269" i="28"/>
  <c r="X45" i="28"/>
  <c r="X44" i="28"/>
  <c r="X43" i="28"/>
  <c r="X266" i="28"/>
  <c r="X47" i="28"/>
  <c r="X50" i="28"/>
  <c r="X46" i="28"/>
  <c r="X41" i="28"/>
  <c r="X40" i="28"/>
  <c r="X39" i="28"/>
  <c r="P77" i="28"/>
  <c r="B91" i="37"/>
  <c r="B95" i="37"/>
  <c r="M16" i="37" s="1"/>
  <c r="B99" i="37" l="1"/>
  <c r="M15" i="37" s="1"/>
  <c r="T95" i="28"/>
  <c r="T97" i="28" s="1"/>
  <c r="P97" i="28" l="1"/>
  <c r="P95" i="28"/>
  <c r="T209" i="28"/>
  <c r="P209" i="28" s="1"/>
  <c r="T295" i="28"/>
  <c r="T296" i="28"/>
  <c r="T363" i="28" s="1"/>
  <c r="T297" i="28"/>
  <c r="T364" i="28" s="1"/>
  <c r="T187" i="28"/>
  <c r="T188" i="28" s="1"/>
  <c r="H188" i="28"/>
  <c r="H187" i="28"/>
  <c r="T208" i="28" l="1"/>
  <c r="P208" i="28" s="1"/>
  <c r="T210" i="28"/>
  <c r="P210" i="28" s="1"/>
  <c r="T212" i="28"/>
  <c r="P212" i="28" s="1"/>
  <c r="T211" i="28"/>
  <c r="P211" i="28" s="1"/>
  <c r="T214" i="28"/>
  <c r="P214" i="28" s="1"/>
  <c r="T213" i="28"/>
  <c r="P213" i="28" s="1"/>
  <c r="T105" i="28"/>
  <c r="T111" i="28"/>
  <c r="T160" i="28"/>
  <c r="T151" i="28" s="1"/>
  <c r="T218" i="28"/>
  <c r="P218" i="28" s="1"/>
  <c r="T215" i="28"/>
  <c r="P215" i="28" s="1"/>
  <c r="T362" i="28"/>
  <c r="T289" i="28"/>
  <c r="P289" i="28" s="1"/>
  <c r="T361" i="28"/>
  <c r="P294" i="28"/>
  <c r="P361" i="28" s="1"/>
  <c r="T235" i="28"/>
  <c r="P235" i="28" s="1"/>
  <c r="N235" i="28" s="1"/>
  <c r="T174" i="28"/>
  <c r="T173" i="28"/>
  <c r="T231" i="28"/>
  <c r="T207" i="28"/>
  <c r="T216" i="28"/>
  <c r="T206" i="28"/>
  <c r="T217" i="28"/>
  <c r="T219" i="28"/>
  <c r="T220" i="28"/>
  <c r="T233" i="28"/>
  <c r="P233" i="28" s="1"/>
  <c r="N233" i="28" s="1"/>
  <c r="T232" i="28"/>
  <c r="P232" i="28" s="1"/>
  <c r="N232" i="28" s="1"/>
  <c r="T234" i="28"/>
  <c r="P234" i="28" s="1"/>
  <c r="N234" i="28" s="1"/>
  <c r="P291" i="28"/>
  <c r="T288" i="28"/>
  <c r="P288" i="28" s="1"/>
  <c r="T287" i="28"/>
  <c r="P287" i="28" s="1"/>
  <c r="P293" i="28"/>
  <c r="T290" i="28"/>
  <c r="P290" i="28" s="1"/>
  <c r="T286" i="28"/>
  <c r="P286" i="28" s="1"/>
  <c r="P292" i="28"/>
  <c r="P111" i="28" l="1"/>
  <c r="N111" i="28" s="1"/>
  <c r="P105" i="28"/>
  <c r="N105" i="28" s="1"/>
  <c r="T153" i="28"/>
  <c r="T154" i="28"/>
  <c r="T155" i="28"/>
  <c r="T152" i="28"/>
  <c r="T156" i="28"/>
  <c r="T149" i="28"/>
  <c r="P296" i="28"/>
  <c r="P363" i="28" s="1"/>
  <c r="O351" i="28" l="1"/>
  <c r="Q351" i="28"/>
  <c r="R351" i="28"/>
  <c r="S351" i="28"/>
  <c r="T351" i="28"/>
  <c r="O348" i="28"/>
  <c r="Q348" i="28"/>
  <c r="R348" i="28"/>
  <c r="S348" i="28"/>
  <c r="T348" i="28"/>
  <c r="I351" i="28"/>
  <c r="J351" i="28"/>
  <c r="K351" i="28"/>
  <c r="L351" i="28"/>
  <c r="I348" i="28"/>
  <c r="J348" i="28"/>
  <c r="K348" i="28"/>
  <c r="L348" i="28"/>
  <c r="F365" i="28" l="1"/>
  <c r="G365" i="28" s="1"/>
  <c r="F352" i="28"/>
  <c r="G352" i="28" s="1"/>
  <c r="F349" i="28"/>
  <c r="G349" i="28" s="1"/>
  <c r="F346" i="28"/>
  <c r="G346" i="28" s="1"/>
  <c r="F342" i="28"/>
  <c r="G342" i="28" s="1"/>
  <c r="F325" i="28"/>
  <c r="G325" i="28" s="1"/>
  <c r="F322" i="28"/>
  <c r="G322" i="28" s="1"/>
  <c r="F318" i="28"/>
  <c r="G318" i="28" s="1"/>
  <c r="G311" i="28"/>
  <c r="F306" i="28"/>
  <c r="G306" i="28" s="1"/>
  <c r="F298" i="28"/>
  <c r="G298" i="28" s="1"/>
  <c r="F283" i="28"/>
  <c r="G283" i="28" s="1"/>
  <c r="F261" i="28"/>
  <c r="G261" i="28" s="1"/>
  <c r="F247" i="28"/>
  <c r="G247" i="28" s="1"/>
  <c r="F244" i="28"/>
  <c r="G244" i="28" s="1"/>
  <c r="F240" i="28"/>
  <c r="G240" i="28" s="1"/>
  <c r="F236" i="28"/>
  <c r="G236" i="28" s="1"/>
  <c r="F184" i="28"/>
  <c r="F67" i="28"/>
  <c r="G67" i="28" s="1"/>
  <c r="G184" i="28"/>
  <c r="G337" i="28" l="1"/>
  <c r="L245" i="28" l="1"/>
  <c r="F70" i="28" l="1"/>
  <c r="G70" i="28" s="1"/>
  <c r="F69" i="28"/>
  <c r="G69" i="28" s="1"/>
  <c r="F68" i="28"/>
  <c r="G68" i="28" s="1"/>
  <c r="F82" i="28"/>
  <c r="G82" i="28" s="1"/>
  <c r="F89" i="28"/>
  <c r="G89" i="28" s="1"/>
  <c r="F102" i="28"/>
  <c r="G102" i="28" s="1"/>
  <c r="F106" i="28"/>
  <c r="G106" i="28" s="1"/>
  <c r="F128" i="28"/>
  <c r="G128" i="28" s="1"/>
  <c r="F141" i="28"/>
  <c r="G141" i="28" s="1"/>
  <c r="F150" i="28"/>
  <c r="G150" i="28" s="1"/>
  <c r="F157" i="28"/>
  <c r="G157" i="28" s="1"/>
  <c r="F221" i="28"/>
  <c r="G221" i="28" s="1"/>
  <c r="F228" i="28"/>
  <c r="G228" i="28" s="1"/>
  <c r="F195" i="28"/>
  <c r="G195" i="28" s="1"/>
  <c r="F3" i="37" l="1"/>
  <c r="P259" i="28" l="1"/>
  <c r="N259" i="28" l="1"/>
  <c r="X317" i="28"/>
  <c r="X190" i="28" l="1"/>
  <c r="X188" i="28"/>
  <c r="X187" i="28"/>
  <c r="E16" i="37" l="1"/>
  <c r="F14" i="37"/>
  <c r="E14" i="37"/>
  <c r="K13" i="37"/>
  <c r="F13" i="37" s="1"/>
  <c r="Z257" i="28" s="1"/>
  <c r="X257" i="28" s="1"/>
  <c r="E13" i="37"/>
  <c r="M13" i="37" s="1"/>
  <c r="F12" i="37"/>
  <c r="E12" i="37"/>
  <c r="E10" i="37"/>
  <c r="E9" i="37"/>
  <c r="M9" i="37" s="1"/>
  <c r="E8" i="37"/>
  <c r="M8" i="37" s="1"/>
  <c r="E7" i="37"/>
  <c r="M7" i="37" s="1"/>
  <c r="E6" i="37"/>
  <c r="E5" i="37"/>
  <c r="M5" i="37" s="1"/>
  <c r="K4" i="37"/>
  <c r="F4" i="37" s="1"/>
  <c r="E4" i="37"/>
  <c r="M4" i="37" s="1"/>
  <c r="E3" i="37"/>
  <c r="M3" i="37" s="1"/>
  <c r="M14" i="37" s="1"/>
  <c r="P134" i="28" l="1"/>
  <c r="T131" i="28"/>
  <c r="P131" i="28" s="1"/>
  <c r="P137" i="28"/>
  <c r="P138" i="28"/>
  <c r="P136" i="28"/>
  <c r="T133" i="28"/>
  <c r="P133" i="28" s="1"/>
  <c r="X119" i="28"/>
  <c r="X75" i="28"/>
  <c r="X35" i="28"/>
  <c r="X38" i="28"/>
  <c r="X32" i="28"/>
  <c r="X33" i="28"/>
  <c r="X36" i="28"/>
  <c r="X66" i="28"/>
  <c r="X34" i="28"/>
  <c r="K5" i="37"/>
  <c r="F5" i="37" s="1"/>
  <c r="Z96" i="28" s="1"/>
  <c r="X96" i="28" s="1"/>
  <c r="X194" i="28"/>
  <c r="X192" i="28"/>
  <c r="X191" i="28"/>
  <c r="X81" i="28"/>
  <c r="X118" i="28"/>
  <c r="X116" i="28" s="1"/>
  <c r="X121" i="28"/>
  <c r="X123" i="28"/>
  <c r="X258" i="28"/>
  <c r="X120" i="28"/>
  <c r="X131" i="28"/>
  <c r="X159" i="28"/>
  <c r="X147" i="28" s="1"/>
  <c r="X227" i="28"/>
  <c r="X310" i="28"/>
  <c r="X358" i="28"/>
  <c r="X302" i="28"/>
  <c r="X309" i="28"/>
  <c r="X308" i="28"/>
  <c r="X303" i="28"/>
  <c r="X267" i="28"/>
  <c r="X304" i="28"/>
  <c r="P302" i="28"/>
  <c r="N308" i="28"/>
  <c r="P303" i="28"/>
  <c r="P304" i="28"/>
  <c r="N260" i="28"/>
  <c r="T114" i="28"/>
  <c r="N34" i="28"/>
  <c r="N36" i="28"/>
  <c r="N32" i="28"/>
  <c r="N37" i="28"/>
  <c r="N38" i="28"/>
  <c r="X111" i="28" l="1"/>
  <c r="X105" i="28"/>
  <c r="Z100" i="28"/>
  <c r="X100" i="28" s="1"/>
  <c r="Z95" i="28"/>
  <c r="Z97" i="28" s="1"/>
  <c r="Z86" i="28"/>
  <c r="Z99" i="28"/>
  <c r="X99" i="28" s="1"/>
  <c r="Z93" i="28"/>
  <c r="X93" i="28" s="1"/>
  <c r="Z101" i="28"/>
  <c r="X101" i="28" s="1"/>
  <c r="Z87" i="28"/>
  <c r="X87" i="28" s="1"/>
  <c r="Z98" i="28"/>
  <c r="Z92" i="28"/>
  <c r="X114" i="28"/>
  <c r="T258" i="28"/>
  <c r="X78" i="28"/>
  <c r="N33" i="28"/>
  <c r="N35" i="28"/>
  <c r="X113" i="28"/>
  <c r="X117" i="28"/>
  <c r="X225" i="28"/>
  <c r="X226" i="28"/>
  <c r="X224" i="28"/>
  <c r="P231" i="28"/>
  <c r="N231" i="28" s="1"/>
  <c r="T148" i="28"/>
  <c r="P351" i="28"/>
  <c r="X351" i="28"/>
  <c r="X290" i="28"/>
  <c r="X293" i="28"/>
  <c r="X297" i="28"/>
  <c r="X364" i="28" s="1"/>
  <c r="X295" i="28"/>
  <c r="X287" i="28"/>
  <c r="X286" i="28"/>
  <c r="X348" i="28"/>
  <c r="X288" i="28"/>
  <c r="X291" i="28"/>
  <c r="X268" i="28"/>
  <c r="X296" i="28"/>
  <c r="X294" i="28"/>
  <c r="X361" i="28" s="1"/>
  <c r="X289" i="28"/>
  <c r="X292" i="28"/>
  <c r="X272" i="28"/>
  <c r="T113" i="28"/>
  <c r="X122" i="28"/>
  <c r="X148" i="28"/>
  <c r="P147" i="28"/>
  <c r="X149" i="28"/>
  <c r="P86" i="28"/>
  <c r="X98" i="28" l="1"/>
  <c r="X277" i="28" s="1"/>
  <c r="Z277" i="28"/>
  <c r="X362" i="28"/>
  <c r="Z94" i="28"/>
  <c r="X94" i="28" s="1"/>
  <c r="Z88" i="28"/>
  <c r="X88" i="28" s="1"/>
  <c r="X86" i="28"/>
  <c r="X95" i="28"/>
  <c r="X97" i="28" s="1"/>
  <c r="X363" i="28"/>
  <c r="N114" i="28"/>
  <c r="N113" i="28"/>
  <c r="P224" i="28"/>
  <c r="X216" i="28"/>
  <c r="X206" i="28"/>
  <c r="X217" i="28"/>
  <c r="X219" i="28"/>
  <c r="X207" i="28"/>
  <c r="X220" i="28"/>
  <c r="X92" i="28"/>
  <c r="X234" i="28" l="1"/>
  <c r="X233" i="28"/>
  <c r="X235" i="28"/>
  <c r="X231" i="28"/>
  <c r="X160" i="28"/>
  <c r="X173" i="28"/>
  <c r="X232" i="28"/>
  <c r="X174" i="28"/>
  <c r="X155" i="28" l="1"/>
  <c r="X151" i="28"/>
  <c r="X152" i="28"/>
  <c r="X156" i="28"/>
  <c r="X153" i="28"/>
  <c r="X154" i="28"/>
  <c r="P173" i="28" l="1"/>
  <c r="P174" i="28" l="1"/>
  <c r="N174" i="28" s="1"/>
  <c r="G287" i="28" l="1"/>
  <c r="G288" i="28"/>
  <c r="G289" i="28"/>
  <c r="G290" i="28"/>
  <c r="G291" i="28"/>
  <c r="G292" i="28"/>
  <c r="G293" i="28"/>
  <c r="G294" i="28"/>
  <c r="G361" i="28" s="1"/>
  <c r="G295" i="28"/>
  <c r="G362" i="28" s="1"/>
  <c r="G296" i="28"/>
  <c r="G297" i="28"/>
  <c r="G364" i="28" s="1"/>
  <c r="G286" i="28"/>
  <c r="G348" i="28"/>
  <c r="G351" i="28"/>
  <c r="G188" i="28"/>
  <c r="G190" i="28"/>
  <c r="G191" i="28"/>
  <c r="G192" i="28"/>
  <c r="G193" i="28"/>
  <c r="G194" i="28"/>
  <c r="G187" i="28"/>
  <c r="G177" i="28"/>
  <c r="G363" i="28" l="1"/>
  <c r="B363" i="28"/>
  <c r="B364" i="28"/>
  <c r="B362" i="28"/>
  <c r="B361" i="28"/>
  <c r="P327" i="28"/>
  <c r="P344" i="28"/>
  <c r="P339" i="28"/>
  <c r="P297" i="28"/>
  <c r="P364" i="28" s="1"/>
  <c r="P295" i="28"/>
  <c r="P277" i="28"/>
  <c r="P273" i="28"/>
  <c r="P272" i="28"/>
  <c r="P269" i="28"/>
  <c r="P267" i="28"/>
  <c r="P243" i="28"/>
  <c r="N243" i="28" s="1"/>
  <c r="P242" i="28"/>
  <c r="N242" i="28" s="1"/>
  <c r="P241" i="28"/>
  <c r="N241" i="28" s="1"/>
  <c r="P239" i="28"/>
  <c r="N239" i="28" s="1"/>
  <c r="P238" i="28"/>
  <c r="N238" i="28" s="1"/>
  <c r="P237" i="28"/>
  <c r="N237" i="28" s="1"/>
  <c r="P227" i="28"/>
  <c r="P226" i="28"/>
  <c r="P225" i="28"/>
  <c r="P220" i="28"/>
  <c r="P219" i="28"/>
  <c r="P217" i="28"/>
  <c r="P216" i="28"/>
  <c r="P207" i="28"/>
  <c r="P206" i="28"/>
  <c r="P194" i="28"/>
  <c r="P193" i="28"/>
  <c r="P192" i="28"/>
  <c r="P191" i="28"/>
  <c r="P179" i="28"/>
  <c r="P178" i="28"/>
  <c r="P152" i="28"/>
  <c r="P153" i="28"/>
  <c r="P154" i="28"/>
  <c r="P155" i="28"/>
  <c r="P156" i="28"/>
  <c r="P151" i="28"/>
  <c r="P149" i="28"/>
  <c r="P148" i="28"/>
  <c r="P258" i="28"/>
  <c r="N258" i="28" l="1"/>
  <c r="P348" i="28"/>
  <c r="P362" i="28"/>
  <c r="X245" i="28" l="1"/>
  <c r="T245" i="28"/>
  <c r="P245" i="28"/>
  <c r="K245" i="28"/>
  <c r="F246" i="28"/>
  <c r="P246" i="28" s="1"/>
  <c r="N246" i="28" s="1"/>
  <c r="N245" i="28" l="1"/>
  <c r="X246" i="28"/>
  <c r="L246" i="28"/>
  <c r="H246" i="28"/>
  <c r="T246" i="28"/>
  <c r="K246" i="28"/>
  <c r="N152" i="28"/>
  <c r="N153" i="28"/>
  <c r="N154" i="28"/>
  <c r="N155" i="28"/>
  <c r="N156" i="28"/>
  <c r="N151" i="28"/>
  <c r="N192" i="28"/>
  <c r="N193" i="28"/>
  <c r="N194" i="28"/>
  <c r="N191" i="28"/>
  <c r="N173" i="28"/>
  <c r="N309" i="28" l="1"/>
  <c r="P309" i="28" s="1"/>
  <c r="N310" i="28" l="1"/>
  <c r="P310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Eygen Emile</author>
    <author>Helga Barkow</author>
  </authors>
  <commentList>
    <comment ref="Y7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Van Eygen Emile:</t>
        </r>
        <r>
          <rPr>
            <sz val="9"/>
            <color indexed="81"/>
            <rFont val="Segoe UI"/>
            <family val="2"/>
          </rPr>
          <t xml:space="preserve">
Gilt für den Spannstahl</t>
        </r>
      </text>
    </comment>
    <comment ref="Z7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Van Eygen Emile:</t>
        </r>
        <r>
          <rPr>
            <sz val="9"/>
            <color indexed="81"/>
            <rFont val="Segoe UI"/>
            <family val="2"/>
          </rPr>
          <t xml:space="preserve">
Gilt für den Spannstahl</t>
        </r>
      </text>
    </comment>
    <comment ref="N131" authorId="1" shapeId="0" xr:uid="{87C5A8F2-D83C-46FF-BDB5-C8E3C3C2A455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2" authorId="1" shapeId="0" xr:uid="{BF38C63A-FFE0-404F-A609-68CDA324995F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3" authorId="1" shapeId="0" xr:uid="{946789DA-164F-4455-BD21-32B7A7B6BF98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4" authorId="1" shapeId="0" xr:uid="{86F0E805-441A-4A6E-BD2B-14C59C361423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5" authorId="1" shapeId="0" xr:uid="{8EAD86FC-FC02-4AF9-978D-70F32EB336A7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6" authorId="1" shapeId="0" xr:uid="{AD88818D-AC44-4D0B-99EB-5ECD93C93B53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7" authorId="1" shapeId="0" xr:uid="{290412E1-41E4-4B0D-B3BE-2D32920DD787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8" authorId="1" shapeId="0" xr:uid="{AA19BDEE-12AE-447B-9346-DDD08F5691DE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39" authorId="1" shapeId="0" xr:uid="{2B76874E-7F6D-4002-AB92-13E2C7B5FD19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N140" authorId="1" shapeId="0" xr:uid="{344865A1-094C-4482-B09E-46572F7BF9C0}">
      <text>
        <r>
          <rPr>
            <sz val="9"/>
            <color indexed="81"/>
            <rFont val="Segoe UI"/>
            <family val="2"/>
          </rPr>
          <t>B2 in m2 angegeben</t>
        </r>
      </text>
    </comment>
    <comment ref="Y237" authorId="1" shapeId="0" xr:uid="{48EC5BE5-9B39-47C0-BC21-3E6895433AB7}">
      <text>
        <r>
          <rPr>
            <sz val="9"/>
            <color indexed="81"/>
            <rFont val="Segoe UI"/>
            <family val="2"/>
          </rPr>
          <t>http://www.aluinfo.de/produktion-und-bedarf.html</t>
        </r>
      </text>
    </comment>
    <comment ref="Y241" authorId="1" shapeId="0" xr:uid="{FE755CC2-CC63-4D6F-A4BA-26A89492080A}">
      <text>
        <r>
          <rPr>
            <sz val="9"/>
            <color indexed="81"/>
            <rFont val="Segoe UI"/>
            <family val="2"/>
          </rPr>
          <t>http://www.aluinfo.de/produktion-und-bedarf.html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Fritz David</author>
  </authors>
  <commentList>
    <comment ref="H55" authorId="0" shapeId="0" xr:uid="{D27426D9-101C-419F-A872-2E8F52BCAB1E}">
      <text>
        <r>
          <rPr>
            <b/>
            <sz val="9"/>
            <color indexed="81"/>
            <rFont val="Segoe UI"/>
            <family val="2"/>
          </rPr>
          <t>Fritz David:</t>
        </r>
        <r>
          <rPr>
            <sz val="9"/>
            <color indexed="81"/>
            <rFont val="Segoe UI"/>
            <family val="2"/>
          </rPr>
          <t xml:space="preserve">
damit die berechneten EFAs mit den angegeben 1,63 kg Co2e/kg aus Stroaenso-EPD übereinstimmen! (Mail Lechner: . Mai 2023)
</t>
        </r>
      </text>
    </comment>
  </commentList>
</comments>
</file>

<file path=xl/sharedStrings.xml><?xml version="1.0" encoding="utf-8"?>
<sst xmlns="http://schemas.openxmlformats.org/spreadsheetml/2006/main" count="1652" uniqueCount="761">
  <si>
    <t>Oberbau</t>
  </si>
  <si>
    <t>Material</t>
  </si>
  <si>
    <t>Beton</t>
  </si>
  <si>
    <t>A1-A3</t>
  </si>
  <si>
    <t>Material Spezifikation</t>
  </si>
  <si>
    <t>Pulldown</t>
  </si>
  <si>
    <t>kg CO2e</t>
  </si>
  <si>
    <t>m</t>
  </si>
  <si>
    <t>Bewehrungsstahl</t>
  </si>
  <si>
    <t>t</t>
  </si>
  <si>
    <t>Baustahl</t>
  </si>
  <si>
    <t>Pflastersteine</t>
  </si>
  <si>
    <t>Holz</t>
  </si>
  <si>
    <t>Wände</t>
  </si>
  <si>
    <t>Materialien siehe z.B.: Produktblätter aus: https://www.maurer.eu/</t>
  </si>
  <si>
    <t>Fahrbahnübergang&gt;80mm Dehnweg</t>
  </si>
  <si>
    <t>Asphalt</t>
  </si>
  <si>
    <t>Hinterfüllmaterial</t>
  </si>
  <si>
    <t>Geogitter</t>
  </si>
  <si>
    <t>Stk</t>
  </si>
  <si>
    <t>Spritzschutz</t>
  </si>
  <si>
    <t>Sonstiges</t>
  </si>
  <si>
    <t>Phasen der EPD</t>
  </si>
  <si>
    <t>Vorteile und Belastungen</t>
  </si>
  <si>
    <t>EPD Referenzjahr/ Erstellung  </t>
  </si>
  <si>
    <t xml:space="preserve">EPD gültig bis </t>
  </si>
  <si>
    <t xml:space="preserve">Annahmen 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</si>
  <si>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</si>
  <si>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</si>
  <si>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</si>
  <si>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</si>
  <si>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</si>
  <si>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</si>
  <si>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</si>
  <si>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</si>
  <si>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</si>
  <si>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</si>
  <si>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</si>
  <si>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C2</t>
  </si>
  <si>
    <t>C3</t>
  </si>
  <si>
    <t>C4</t>
  </si>
  <si>
    <t>D</t>
  </si>
  <si>
    <t>(Legende siehe ganz unten) </t>
  </si>
  <si>
    <t>Transport</t>
  </si>
  <si>
    <t>Herstellung</t>
  </si>
  <si>
    <t>Bau/Einbau</t>
  </si>
  <si>
    <t>Nutzung</t>
  </si>
  <si>
    <t>Instand-haltung</t>
  </si>
  <si>
    <t>Reparatur</t>
  </si>
  <si>
    <t>Ersatz</t>
  </si>
  <si>
    <t>Umbau, Erneuerung</t>
  </si>
  <si>
    <t>betriebl. Energie-einsatz</t>
  </si>
  <si>
    <t>betriebl. Wasser-einsatz</t>
  </si>
  <si>
    <t>Abfallbewirt-schaftung</t>
  </si>
  <si>
    <t>Entsorgung</t>
  </si>
  <si>
    <t>Wiederverwendungs-, Rückgewinnungs, Recyclingpotenzial</t>
  </si>
  <si>
    <t>Recycling-anteil Input</t>
  </si>
  <si>
    <t>Anteil Produktion Sekundärmaterial</t>
  </si>
  <si>
    <t>Umrechnung</t>
  </si>
  <si>
    <t>[a]</t>
  </si>
  <si>
    <t xml:space="preserve">Anmerkung </t>
  </si>
  <si>
    <t xml:space="preserve">weiterführende Links: </t>
  </si>
  <si>
    <t>Quelle GWP</t>
  </si>
  <si>
    <t xml:space="preserve">Hauptmaterialien </t>
  </si>
  <si>
    <t>ANNAHME</t>
  </si>
  <si>
    <t>https://www.beton.org/service/zement-merkblaetter/</t>
  </si>
  <si>
    <t>https://oekobaudat.de/OEKOBAU.DAT/resource/sources/62cc9175-a326-4215-bbbb-5bc6e3467a84/Beton_der_Druckfestigkeitsklasse_C_2530_10614.pdf?version=00.03.000</t>
  </si>
  <si>
    <t>https://oekobaudat.de/OEKOBAU.DAT/resource/sources/6bf74566-0559-4890-8236-4e06043d3805/Beton_der_Druckfestigkeitsklasse_C_3545_10524.pdf?version=00.03.000</t>
  </si>
  <si>
    <t>Extra aggressive C40/50 concrete with RAPID cement (DK)</t>
  </si>
  <si>
    <t>Datensatz für Spezialbeton (?) aus Dänemark, schwierig einzuschätzen ob repräsentativ für Österreich und Anwendung</t>
  </si>
  <si>
    <t>https://www.epd.dk/media/axrlfnga/md-21025-da_unicon.pdf</t>
  </si>
  <si>
    <t>C 40/50 (SE)</t>
  </si>
  <si>
    <t>Datensatz für Beton aus Schweden, schwierig einzuschätzen ob repräsentativ für Österreich</t>
  </si>
  <si>
    <t>https://www.epd-norge.no/getfile.php/1319135-1623762697/EPDer/Byggevarer/Ferdig%20betong/NEPD-2893-1589_Fabriksbetong-C30-37-vct-0-55---C40-50-vct-04.pdf</t>
  </si>
  <si>
    <t>Spannbeton- Fertigteildecke (26,5 cm Deckendicke, C45/C55)</t>
  </si>
  <si>
    <t>https://www.dgnb-navigator.de/BackOffice/DownloadFile?id=0f851792-87b8-435d-b80e-6e4919564711.pdf</t>
  </si>
  <si>
    <t>A5 von Betonstahl Marienhütte übernommen</t>
  </si>
  <si>
    <t>Betonstahl Bewehrungsdraht</t>
  </si>
  <si>
    <t>  auf D bezogen, Eisen,  Prouktionsweg Elektroofen für Stahldraht, Streckgrenze nicht definiert</t>
  </si>
  <si>
    <t>https://oekobaudat.de/OEKOBAU.DAT/datasetdetail/process.xhtml?uuid=e9ae96ee-ba8d-420d-9725-7c8abd06e082&amp;version=20.19.120&amp;stock=OBD_2021_II&amp;lang=de</t>
  </si>
  <si>
    <t xml:space="preserve">Betonstahl Stäbe - ArcelorMittal Polen (Recyclingstahl, Ökostrom) </t>
  </si>
  <si>
    <t>ArcelorMittal Anlage in Polen. "Sustainable" steel, Ökostrom</t>
  </si>
  <si>
    <t>https://constructalia.arcelormittal.com/files/XCarb%20Recycled%20and%20renewably%20produced%20Reinforcing%20steel%20in%20bars--1026d3124f9ffd96d4f7e0ba6a08f1fe.pdf</t>
  </si>
  <si>
    <t xml:space="preserve">Spannstahl  </t>
  </si>
  <si>
    <t>A4: Exceltabelle Abschätzung A4 Durchschnitt; A5 von Betonstahl Marienhütte übernommen und doppelten Aufwand bei Einbau abgeschätzt </t>
  </si>
  <si>
    <t xml:space="preserve">nach ÖNORM B 4758 (5.2) </t>
  </si>
  <si>
    <t>PC Strand (2, 3- bzw. 7 Drähte, 1570-2160 MPa) (IT)</t>
  </si>
  <si>
    <t>https://www.kiwa.com/49bf9f/globalassets/germany/veroffentlichte-epds/epd_-slm_pc_strand---final.pdf/</t>
  </si>
  <si>
    <t>Excel Datei Liste Oekobilanzdaten im Baubereich 2009-1-2016-gerundet-kWh</t>
  </si>
  <si>
    <t>colofer® (Stahlträger + Beschichtung) (Beschichtungsvorgang ges.) (Schichtdicke 0.00067m) </t>
  </si>
  <si>
    <t>siehe Link; Kap. 3.1</t>
  </si>
  <si>
    <t>Beschichtetes Stahlblech, nicht nur Beschichtung an sich</t>
  </si>
  <si>
    <t xml:space="preserve">(ausgeblendete Zeilen mit weiteren Optionen vorhanden) </t>
  </si>
  <si>
    <t xml:space="preserve">Arbeitsschritte: </t>
  </si>
  <si>
    <t xml:space="preserve">Sandstrahlen </t>
  </si>
  <si>
    <t>(von Betonpflasterstein)</t>
  </si>
  <si>
    <t>https://www.oekobaudat.de/OEKOBAU.DAT/resource/sources/11b6f292-d761-4491-910f-84f4d16b9f02/EPD-Anhang_Kronimus_BS_Edelsplitt.pdf?version=00.01.000</t>
  </si>
  <si>
    <t xml:space="preserve">Schleifen </t>
  </si>
  <si>
    <t xml:space="preserve">Schleifen und Sandstrahlen </t>
  </si>
  <si>
    <t xml:space="preserve">Beschichtungsdicke erhöht </t>
  </si>
  <si>
    <t xml:space="preserve">Material: </t>
  </si>
  <si>
    <t>Grundierung (Polyester-Pulverlack)</t>
  </si>
  <si>
    <t>Deckschicht (Epoxyd-Pulverlack)</t>
  </si>
  <si>
    <t>Anstrich, lösemittelverdünnbar, 2 Anstriche</t>
  </si>
  <si>
    <t>Anstrich, wasserverdünnbar, 2 Anstriche</t>
  </si>
  <si>
    <t>Polyester-Pulverlack (Verband der deutschen Lack- und Druckfarbenindustrie)</t>
  </si>
  <si>
    <t>kg</t>
  </si>
  <si>
    <t>Epoxyd-Pulverlack (Verband der deutschen Lack- und Druckfarbenindustrie)</t>
  </si>
  <si>
    <t>eher für den Innenbereich?</t>
  </si>
  <si>
    <t>Hybrid-Pulverlack (Verband der deutschen Lack- und Druckfarbenindustrie)</t>
  </si>
  <si>
    <t>Pulverlackierung (Industrie, Außenbereich, weiß) (de)</t>
  </si>
  <si>
    <t>Beschichtungsverfahren Metalllack (de)</t>
  </si>
  <si>
    <t>https://oekobaudat.de/OEKOBAU.DAT/datasetdetail/process.xhtml?uuid=118d1b5e-5f22-4d04-8711-c4b02de02209&amp;version=20.19.120&amp;stock=OBD_2021_II&amp;lang=de</t>
  </si>
  <si>
    <t>Lösemittellack weiß (de)</t>
  </si>
  <si>
    <t>https://oekobaudat.de/OEKOBAU.DAT/datasetdetail/process.xhtml?uuid=95c6760d-1605-430b-8216-825f6c0ac409&amp;version=20.19.120&amp;stock=OBD_2021_II&amp;lang=de</t>
  </si>
  <si>
    <t>Gesamt (Bassisdaten für Phase B)</t>
  </si>
  <si>
    <t xml:space="preserve">Holz </t>
  </si>
  <si>
    <t xml:space="preserve">keilverzinktes Konstruktionsvollholz: </t>
  </si>
  <si>
    <t>https://www.kvh.eu/fileadmin/downloads/Vereinbarungen_und_Zulassungen/umweltproduktdeklaration_Konstruktionsvollholz_KVH.PDF (Quelle Alt, EPD nicht mehr gültig)</t>
  </si>
  <si>
    <t>Keilgezinktes Konstruktionsvollholz KVH (Hasslacher Holding GmbH, AT)</t>
  </si>
  <si>
    <t>Leimholz-Träger aus AT</t>
  </si>
  <si>
    <t>https://ibudata.lca-data.com/resource/sources/155aa4c4-ea60-4caf-a0bb-baf3298d72e4/Konstruktionsvollholz_GLT_Gepruefte_Leimholz_Traeger_14582.pdf?version=00.01.000</t>
  </si>
  <si>
    <t>Keilverzinktes Konstruktionsvollholz KVH (Durchschnitt DE) </t>
  </si>
  <si>
    <t>Leimholz-Trägerm, Durchschnitt DE, sehr repräsentativ für DE</t>
  </si>
  <si>
    <t>https://oekobaudat.de/OEKOBAU.DAT/datasetdetail/process.xhtml?uuid=d1050c0d-a62f-4347-8ae6-2f31532caeec&amp;version=00.00.029</t>
  </si>
  <si>
    <t xml:space="preserve">Brettschichtholz: </t>
  </si>
  <si>
    <t>weitere Optionen:</t>
  </si>
  <si>
    <t xml:space="preserve">Ausrüstung </t>
  </si>
  <si>
    <t xml:space="preserve">(wo möglich über EPDs abdecken) </t>
  </si>
  <si>
    <t xml:space="preserve">Brückenlager </t>
  </si>
  <si>
    <t>nach  Hauptmaterialien von Brückenlagern  - Materialdefinition nach EN 1337: </t>
  </si>
  <si>
    <t>Elastomerlager:</t>
  </si>
  <si>
    <t xml:space="preserve">weitere Materialien für Brückenlager </t>
  </si>
  <si>
    <t xml:space="preserve">Referenzmaterial </t>
  </si>
  <si>
    <t>Kunststoffprofil CR (Chloropren-Kautschuk) (de)</t>
  </si>
  <si>
    <t>Umrechnung von lfm auf kg aus Vorprojekt auf Basis von https://freyssinet.co.uk/wp-content/uploads/2019/05/Freyssinet-Elastomeric-Bearings.pdf, 800*800*20mm</t>
  </si>
  <si>
    <t>Profil aus Chloroprenkautschuk</t>
  </si>
  <si>
    <t>https://oekobaudat.de/OEKOBAU.DAT/datasetdetail/process.xhtml?uuid=884efbb3-7be6-4e4d-9726-c39c1b781436&amp;version=20.19.120&amp;stock=OBD_2021_II&amp;lang=de</t>
  </si>
  <si>
    <t xml:space="preserve">kg </t>
  </si>
  <si>
    <t>Edelstahlblech (de)</t>
  </si>
  <si>
    <t>Cold Rolled Stainless Steel (Outokumpu Oyj)</t>
  </si>
  <si>
    <t>https://ibudata.lca-data.com/resource/sources/85758122-b0ee-4dff-9dbb-88dac14d6a12/Cold_Rolled_Stainless_Steel_10910.pdf?version=00.01.000</t>
  </si>
  <si>
    <t>Styrol-Butadien-Kautschuk (SBR)</t>
  </si>
  <si>
    <t>https://oekobaudat.de/OEKOBAU.DAT/datasetdetail/process.xhtml?uuid=7a4d3393-a33a-47c8-b42f-42d8ec6a90f6&amp;version=20.19.120&amp;stock=OBD_2021_II&amp;lang=de</t>
  </si>
  <si>
    <t>noraplan® 913</t>
  </si>
  <si>
    <t>https://oekobaudat.de/OEKOBAU.DAT/resource/sources/d4b314f1-ac8c-4cff-b99b-2694d93926e0/noraplan_913_10715.pdf?version=00.03.000</t>
  </si>
  <si>
    <t xml:space="preserve">PTFE-Platten ( lt EN1337 -2 Kapitel 5.2.1 ) </t>
  </si>
  <si>
    <t xml:space="preserve">2140 bis 2200 </t>
  </si>
  <si>
    <t>Folie aus Polytetrafluorethylen (PTFE) (de)</t>
  </si>
  <si>
    <t>https://oekobaudat.de/OEKOBAU.DAT/datasetdetail/process.xhtml?uuid=f281ecaf-5754-4d27-8d70-cfd18780b192&amp;version=20.19.120&amp;stock=OBD_2021_II&amp;lang=de</t>
  </si>
  <si>
    <t>Fahrbahnübergang</t>
  </si>
  <si>
    <t>Fahrbahnübergang&lt;80mm Dehnweg (expansion joint)</t>
  </si>
  <si>
    <t>Stichwort: Fa Mageba, Maurer</t>
  </si>
  <si>
    <t>https://www.pveno.nl/handboek-voegovergangen/wp-content/uploads/sites/3/2016/07/TRANSGRIP-Poster_12_Web.pdf</t>
  </si>
  <si>
    <t>nach Hauptmaterialien von Fahrbahnübergang</t>
  </si>
  <si>
    <t xml:space="preserve">Abdichtung </t>
  </si>
  <si>
    <t>Bitumen Emulsion (40% Bitumen, 60% Wasser) (D)</t>
  </si>
  <si>
    <t xml:space="preserve">Bitumen Kaltkleber (60% Bitumen, 23%LM, 17% Wasser) (D) </t>
  </si>
  <si>
    <t>Dichtungsbahn bituminös</t>
  </si>
  <si>
    <t xml:space="preserve">Entwässerung </t>
  </si>
  <si>
    <t xml:space="preserve">Stichwort: Duroplast </t>
  </si>
  <si>
    <t>https://www.georgfischer.com/de/sustainability-at-gf/life-cycle-assessments.html</t>
  </si>
  <si>
    <t>Glass fiber reinforced polyester pipe (Turkey)</t>
  </si>
  <si>
    <t>von kg auf lfm</t>
  </si>
  <si>
    <t>Flowtite GRP Pipes (Europe)</t>
  </si>
  <si>
    <t>https://www.iplex.com.au/assets/Uploads/e50a123b26/FLOWTITE-EPD.pdf</t>
  </si>
  <si>
    <t>PE-HD (PE-HE 80 und 100)</t>
  </si>
  <si>
    <t>Gewicht aus: https://pe-tec.biz/wp-content/uploads/2020/06/2020_PE-Preisliste-PE-TEC.pdf</t>
  </si>
  <si>
    <t>PP</t>
  </si>
  <si>
    <t>Regenabflussrohr PVC (de)</t>
  </si>
  <si>
    <t>Rohrbefestigungen (nichtrostende Stähle gem. RVS 15.04.31)</t>
  </si>
  <si>
    <t>Über Edelstahl umrechnen</t>
  </si>
  <si>
    <t xml:space="preserve">Randbalken </t>
  </si>
  <si>
    <t>(Pulldown übernehmen )</t>
  </si>
  <si>
    <t xml:space="preserve">Beton </t>
  </si>
  <si>
    <t xml:space="preserve">über Beton berechnen </t>
  </si>
  <si>
    <t xml:space="preserve">Bewehrungsstahl </t>
  </si>
  <si>
    <t xml:space="preserve">über Betonstahl berechnen </t>
  </si>
  <si>
    <t xml:space="preserve">sonstige Ausrüstung: </t>
  </si>
  <si>
    <t xml:space="preserve">Fahrzeugrückhaltesystem </t>
  </si>
  <si>
    <t>siehe frs_bruecken-kraefte_20200506.pdf</t>
  </si>
  <si>
    <t xml:space="preserve">SLW allgemein </t>
  </si>
  <si>
    <t>kg/lfm und lfm einzugeben</t>
  </si>
  <si>
    <t>lfm einzugeben </t>
  </si>
  <si>
    <t xml:space="preserve">lfm einzugeben </t>
  </si>
  <si>
    <t>Geländer</t>
  </si>
  <si>
    <t>Umrechnung von lfm auf kg aus Vorprojekt auf Basis von Schätzung 2 Steher pro Meter, Rohre mit 3cm Durchmesser</t>
  </si>
  <si>
    <t>GELÄNDER AUS ALUMINUM (beschichtet)</t>
  </si>
  <si>
    <t>https://oekobaudat.de/OEKOBAU.DAT/resource/sources/2b6a72f7-ae5d-4f40-ab35-45f86484c55d/Aluminiumprofil_beschichtet_10999.pdf?version=00.01.000</t>
  </si>
  <si>
    <t>GELÄNDER AUS ALUMINIUM (eloxiert)</t>
  </si>
  <si>
    <t>Gemis 5.0 / eigenen Modelierung</t>
  </si>
  <si>
    <t>Lärmschutzwand</t>
  </si>
  <si>
    <t>https://rau.de/de/2021/03/24/klimaktiv/</t>
  </si>
  <si>
    <t>weitere Materialien </t>
  </si>
  <si>
    <t>Materialien für Ausrüstung (Geländer, Leitplanken, …)</t>
  </si>
  <si>
    <t>Stahl S355 JR, S235 JR, verzinkt nach EN ISO 1461, EN 10346 </t>
  </si>
  <si>
    <t>Verfugung</t>
  </si>
  <si>
    <t>KÖSTER Sperrmörtel / Sanierputz / Zementschlämme</t>
  </si>
  <si>
    <t>gemittelter Wert der EPD-Gruppen 1-3 (siehe zb EPD Köster Sperrmörtel) </t>
  </si>
  <si>
    <t xml:space="preserve">EPDs sind nahezu ident </t>
  </si>
  <si>
    <t>https://muster-epd.deutsche-bauchemie.de/modifizierte-mineralische-moertel</t>
  </si>
  <si>
    <t xml:space="preserve">Erdbau </t>
  </si>
  <si>
    <t>https://www.baustoffwissen.de/baustoffe/baustoffknowhow/grundstoffe-des-bauens/schuettgueter-korngroesse-sand-kies-splitt-schotter/</t>
  </si>
  <si>
    <t xml:space="preserve">Kies, Schotter </t>
  </si>
  <si>
    <t>Natürliche GK 0/4 mm, rund (CH)</t>
  </si>
  <si>
    <t xml:space="preserve">Einteilung nach Korngröße und/oder EPD Beschreibung </t>
  </si>
  <si>
    <t>Natürliche GK 0/4 mm, gebrochen (CH)</t>
  </si>
  <si>
    <t>Natürliche GK 4/x mm, rund (CH)</t>
  </si>
  <si>
    <t>Natürliche GK 4/x mm, gebrochen (CH)</t>
  </si>
  <si>
    <t xml:space="preserve">Sand, Kies, Schotter </t>
  </si>
  <si>
    <t xml:space="preserve">Sand, Kies </t>
  </si>
  <si>
    <t xml:space="preserve">Schotter-Referenzen gemittelt </t>
  </si>
  <si>
    <t xml:space="preserve">Dichte aus: https://www.kiesdirekt.de/shop/menge-rechner.asp?groupid=24&amp;productid=386
</t>
  </si>
  <si>
    <t xml:space="preserve">Kies-Refernzen gemittelt </t>
  </si>
  <si>
    <t>Erde</t>
  </si>
  <si>
    <t>Schotter, Kies, Sand gemittelt; Dichte Annahme geprüft mit: https://www.kiesdirekt.de/shop/menge-rechner.asp?groupid=24&amp;productid=1489</t>
  </si>
  <si>
    <t>Sand-Referenzen gemittelt, Dichte Annahme geprüft mit: https://www.kiesdirekt.de/shop/menge-rechner.asp?groupid=22&amp;productid=304</t>
  </si>
  <si>
    <t>Mittelwert von Grau und Weiß</t>
  </si>
  <si>
    <t>https://portal.environdec.com/api/api/v1/EPDLibrary/Files/4c6cd74b-ff39-4b21-3a3b-08d98fadb225/Data</t>
  </si>
  <si>
    <t xml:space="preserve">Pflastersteine </t>
  </si>
  <si>
    <t xml:space="preserve">Durchschnitt unterschiedlicher Hersteller und Produkte aus D </t>
  </si>
  <si>
    <t>https://oekobaudat.de/OEKOBAU.DAT/resource/sources/8c29eeb7-0515-4334-a910-308cf7d02b9c/A2-Betonpflaster-_Standardstein_grau_mit_Vorsatz_12673.pdf?version=00.01.000</t>
  </si>
  <si>
    <t xml:space="preserve">Ein Hersteller und mehrere Produkte </t>
  </si>
  <si>
    <t xml:space="preserve">eher Gartengestaltung usw. </t>
  </si>
  <si>
    <t xml:space="preserve">Geogitter </t>
  </si>
  <si>
    <t>(für Dämme und Stützmauern)</t>
  </si>
  <si>
    <t>https://www.asphalt.de/fileadmin/user_upload/technik/baustoffe_und_baustoffgemische.pdf</t>
  </si>
  <si>
    <t>https://oekobaudat.de/OEKOBAU.DAT/datasetdetail/process.xhtml?uuid=3d1b480d-243f-4ff2-aa16-428e1a93f5d8&amp;version=20.21.060&amp;stock=OBD_2021_II&amp;lang=de</t>
  </si>
  <si>
    <t>https://oekobaudat.de/OEKOBAU.DAT/datasetdetail/process.xhtml?uuid=f34786e7-0953-4085-9f3d-955481cdd4ea&amp;version=20.21.060&amp;stock=OBD_2021_II&amp;lang=de</t>
  </si>
  <si>
    <t>https://oekobaudat.de/OEKOBAU.DAT/datasetdetail/process.xhtml?uuid=24d554b6-a720-45a3-b80d-17a46e612f26&amp;version=20.21.060&amp;stock=OBD_2021_II&amp;lang=de</t>
  </si>
  <si>
    <t>https://oekobaudat.de/OEKOBAU.DAT/datasetdetail/process.xhtml?uuid=2d7f6993-c585-4674-b030-348434efeaca&amp;version=20.21.060&amp;stock=OBD_2021_II&amp;lang=de</t>
  </si>
  <si>
    <t xml:space="preserve">LEGENDE </t>
  </si>
  <si>
    <t>C1-C4</t>
  </si>
  <si>
    <t>Aluminium</t>
  </si>
  <si>
    <t>Annahme zu A5: Einbau halber Aufwand zu LSW/Steher</t>
  </si>
  <si>
    <t>Herstellungs-
phase</t>
  </si>
  <si>
    <t>Errichtungs-
phase</t>
  </si>
  <si>
    <t>GFK</t>
  </si>
  <si>
    <t xml:space="preserve">t </t>
  </si>
  <si>
    <t>weitere Option / eigener Betonstahl/Bewehrungsstahl</t>
  </si>
  <si>
    <t>weitere Option / eigener Spannstahl</t>
  </si>
  <si>
    <t>weitere Option / eigener Baustahl</t>
  </si>
  <si>
    <t>weitere Option / eigene Beschichtung-Herstellungsphase</t>
  </si>
  <si>
    <t>weitere Option / eigene Beschichtung-Nutzungsphase</t>
  </si>
  <si>
    <t>weitere Option / eigenes Holz</t>
  </si>
  <si>
    <t>weitere Option / eigenes Elastomerlager</t>
  </si>
  <si>
    <t>weitere Option / eigenes Kalotten- oder Topflager</t>
  </si>
  <si>
    <t>weitere Option / eigener FÜG</t>
  </si>
  <si>
    <t>weitere Option / eigene Abdichtung</t>
  </si>
  <si>
    <t>weitere Option / eigenes Rohrmaterial</t>
  </si>
  <si>
    <t>Geländer aus Holz - H = 1,1m</t>
  </si>
  <si>
    <t>Geländer aus Holz - H = 1.3m</t>
  </si>
  <si>
    <t>GELÄNDER AUS HOLZ</t>
  </si>
  <si>
    <t>weitere Option / eigenes Geländer aus Holz</t>
  </si>
  <si>
    <t>weitere Option / eigenes Geländer aus eloxiertem Alu</t>
  </si>
  <si>
    <t>weitere Option / eigenes Geländer aus beschichtetem Alu</t>
  </si>
  <si>
    <t>weitere Option / eigene LSW</t>
  </si>
  <si>
    <t>weitere Option / eigenes Material</t>
  </si>
  <si>
    <t>Trinkwasserrohr (Edelstahl)</t>
  </si>
  <si>
    <t>ungebundene untere Tragschicht</t>
  </si>
  <si>
    <t>ungebundene obere Tragschicht</t>
  </si>
  <si>
    <t>Schotter (Korngrößen 32 - 63 mm)</t>
  </si>
  <si>
    <t>Sand (Korngröße 0,063 bis 2mm)</t>
  </si>
  <si>
    <t>weitere Option / eigenes Material (Pflastersteine)</t>
  </si>
  <si>
    <t>weitere Option / eigenes Material (Erdbau)</t>
  </si>
  <si>
    <t>weitere Option / eigenes Material (Geogitter)</t>
  </si>
  <si>
    <t>weitere Option / eigenes Material (Verfugung)</t>
  </si>
  <si>
    <t>weitere Option / eigenes Material (Oberbeton)</t>
  </si>
  <si>
    <t>weitere Option / eigenes Material (Unterbeton)</t>
  </si>
  <si>
    <t>weitere Option / eigenes Material (Asphaltbinder)</t>
  </si>
  <si>
    <t>weitere Option / eigenes Material (Asphalttragschicht)</t>
  </si>
  <si>
    <t>weitere Option / eigenes Material (Asphaltdeckschicht)</t>
  </si>
  <si>
    <t>weitere Option / eigenes Material (u. o. Tragschicht)</t>
  </si>
  <si>
    <t>weitere Option / eigenes Material (u. u. Tragschicht)</t>
  </si>
  <si>
    <t>Einheit Materialien</t>
  </si>
  <si>
    <t>Bitumen</t>
  </si>
  <si>
    <t>Kalottenlager (Ankerplatten berücksichtigt):</t>
  </si>
  <si>
    <t>Topflager (Ankerplatten berücksichtigt):</t>
  </si>
  <si>
    <t>weitere Option / eigener Beton1</t>
  </si>
  <si>
    <t>weitere Option / eigener Beton2</t>
  </si>
  <si>
    <t>weitere Option / eigener Beton3</t>
  </si>
  <si>
    <t>weitere Option / eigener Beton4</t>
  </si>
  <si>
    <t>Materialgruppe</t>
  </si>
  <si>
    <t>Sammelrate</t>
  </si>
  <si>
    <t>Rec</t>
  </si>
  <si>
    <t>Verb</t>
  </si>
  <si>
    <t>Dep</t>
  </si>
  <si>
    <t>Sek</t>
  </si>
  <si>
    <t>Systemgrenze</t>
  </si>
  <si>
    <t>Rückgewinnung (C)</t>
  </si>
  <si>
    <t>Rückgewinnung (D)</t>
  </si>
  <si>
    <t>Substituiert</t>
  </si>
  <si>
    <t>Wertkorrekturfaktor</t>
  </si>
  <si>
    <t>ohne Recycling</t>
  </si>
  <si>
    <t>Entfernung</t>
  </si>
  <si>
    <t>Gebrochene Gesteinskörnung</t>
  </si>
  <si>
    <t>Brechen, Zerkleinern, Fraktionieren</t>
  </si>
  <si>
    <t>/</t>
  </si>
  <si>
    <t>Gesteinskörnung</t>
  </si>
  <si>
    <t>Betonstahl</t>
  </si>
  <si>
    <t>Aufbereiteter Schrott</t>
  </si>
  <si>
    <t>Brechen, Magnetabscheidung, Zerkleinern, Aufbereiten</t>
  </si>
  <si>
    <t>Schmelzen</t>
  </si>
  <si>
    <t>Roheisen (?)</t>
  </si>
  <si>
    <t>Zerkleinern, Aufbereiten</t>
  </si>
  <si>
    <t>Beschichtungen</t>
  </si>
  <si>
    <t>Aufbereiteter Brennstoff</t>
  </si>
  <si>
    <t>Entfernen</t>
  </si>
  <si>
    <t>Verbrennung</t>
  </si>
  <si>
    <t>Strom/Wärme</t>
  </si>
  <si>
    <t>MJ/kg, ecoinvent</t>
  </si>
  <si>
    <t>Kautschuk</t>
  </si>
  <si>
    <t>Bitumen Abdichtung</t>
  </si>
  <si>
    <t>Gesteinskörnung, Bitumen</t>
  </si>
  <si>
    <t>Deponiert</t>
  </si>
  <si>
    <t>Kunststoffe</t>
  </si>
  <si>
    <t>Flakes/Regranulat</t>
  </si>
  <si>
    <t>Sortierung, Einschmelzen</t>
  </si>
  <si>
    <t>Primärkunststoffe</t>
  </si>
  <si>
    <t>Rohaluminium</t>
  </si>
  <si>
    <t>Glas</t>
  </si>
  <si>
    <t>Mineralwolle</t>
  </si>
  <si>
    <t>Transporte</t>
  </si>
  <si>
    <t>kg CO2-eq</t>
  </si>
  <si>
    <t>[Dep] Abbruch, Deponierung</t>
  </si>
  <si>
    <t>[D] Subsituiertes Produkt</t>
  </si>
  <si>
    <t>Mittlere Entfernung Behandlungsanlage</t>
  </si>
  <si>
    <t>tkm</t>
  </si>
  <si>
    <t>Schätzung auf Basis Abb. 31 Statusbericht Abfallwirtschaft BJ 2019</t>
  </si>
  <si>
    <t>[Rec] Abbruch, Sortierung</t>
  </si>
  <si>
    <t>[Dep] Abbruch, Sortierung, Deponierung</t>
  </si>
  <si>
    <t>[D] Recyclingprozess</t>
  </si>
  <si>
    <t>market for iron scrap, unsorted, GLO [kg]</t>
  </si>
  <si>
    <t>Muss entfernt werden aus Recyclingprozess, da selber modelliert</t>
  </si>
  <si>
    <t>[Dep] Deponierung</t>
  </si>
  <si>
    <t>[Verb/Dep] Transport, 98% zu Verbrennung, 2% zu Deponierung</t>
  </si>
  <si>
    <t>Fernwärme [kWh]</t>
  </si>
  <si>
    <t>[Verb] Substituierte Wärme</t>
  </si>
  <si>
    <t>https://secure.umweltbundesamt.at/co2mon/co2mon.html</t>
  </si>
  <si>
    <t>Stromaufbringung Österreich [kWh]</t>
  </si>
  <si>
    <t>[Verb] Substituierter Strom</t>
  </si>
  <si>
    <t>Verbrennungseffizienz MVA (Van Eygen et al. 2018)</t>
  </si>
  <si>
    <t>[Verb] Verbrennungsprozess</t>
  </si>
  <si>
    <t>% C</t>
  </si>
  <si>
    <t>Wärme</t>
  </si>
  <si>
    <t>Biog. C</t>
  </si>
  <si>
    <t>Strom</t>
  </si>
  <si>
    <t>[Verb/Dep] Transport, Verbrennungsprozess, Deponierung</t>
  </si>
  <si>
    <t>[Rec] Transport, Recyclingprozess</t>
  </si>
  <si>
    <t>[Rec] Recyclingprozess</t>
  </si>
  <si>
    <t>[Verb] Transport, Verbrennungsprozess</t>
  </si>
  <si>
    <t>[Dep] Transport, Deponierung</t>
  </si>
  <si>
    <t>Verwertungsoptionen</t>
  </si>
  <si>
    <t>ungebundene Tragschicht</t>
  </si>
  <si>
    <t>[D] Subsituiertes Produkt ungebundene Tragschicht</t>
  </si>
  <si>
    <t>Recylingasphalt</t>
  </si>
  <si>
    <t>Durchschnitt LKW SNF (&gt; = 3,5t - 40t) D*</t>
  </si>
  <si>
    <t>g/Tkm</t>
  </si>
  <si>
    <t>Güterverkehr (GV) Schiene in Ö</t>
  </si>
  <si>
    <t>Binnenschifffahrt EU</t>
  </si>
  <si>
    <t>GEMIS Schiff-Güter-EU-Binnen-2015</t>
  </si>
  <si>
    <t>Straßenbelag Gesamtaufbau</t>
  </si>
  <si>
    <t>ACHTUNG: Werte Stand 2022</t>
  </si>
  <si>
    <t>STAHLSYSTEME (FRS-S)</t>
  </si>
  <si>
    <t>weitere Option / eigenes FRS-Stahl</t>
  </si>
  <si>
    <t>BETONSYSTEME (FRS-B)</t>
  </si>
  <si>
    <t>FRS-B - Höhe 80 cm ; Aufhaltestufe H2; H1, N2</t>
  </si>
  <si>
    <t>FRS-B - Höhe 100 cm; Aufhaltestufe H3, H2</t>
  </si>
  <si>
    <t>FRS-B - Höhe 120 cm; Aufhaltestufe H4b</t>
  </si>
  <si>
    <t>FRS-B - Höhe 140 cm; Aufhaltestufe H4b</t>
  </si>
  <si>
    <t>weitere Option / eigenes FRS-Beton</t>
  </si>
  <si>
    <t>Rohstoffbe-reitstellung, Transport, Herstellung</t>
  </si>
  <si>
    <t>Abbruch,
Transport,
Entsorgung</t>
  </si>
  <si>
    <t>Annahme: Mix aus Emissionsfaktor für biogene Energieträger, vorwiegend Hackschnitzel</t>
  </si>
  <si>
    <t>23 gCO2e/kWh</t>
  </si>
  <si>
    <t>14 gCO2e/kWh</t>
  </si>
  <si>
    <t>Annahme: Emissionsfaktor für zertifizierten Umweltstrom</t>
  </si>
  <si>
    <t>Mittelwert aus weiß und grau</t>
  </si>
  <si>
    <t>Abfallbehandlung</t>
  </si>
  <si>
    <t xml:space="preserve">[Rec] Abbruch, Sortierung, 40% in die Feinfraktion </t>
  </si>
  <si>
    <t>Deponierung</t>
  </si>
  <si>
    <t>Kies</t>
  </si>
  <si>
    <t>https://www.kbob.admin.ch/kbob/de/home/themen-leistungen/nachhaltiges-bauen/oekobilanzdaten_baubereich.html</t>
  </si>
  <si>
    <t>https://eplca.jrc.ec.europa.eu/globalLCA.html</t>
  </si>
  <si>
    <t>https://www.eco-platform.org/epd-data.html</t>
  </si>
  <si>
    <t>Informationsblatt: 
CO2-Faktoren
Bundesförderung für Energie- und Ressourceneffizienz in der
Wirtschaft - Zuschuss</t>
  </si>
  <si>
    <t>https://www.bafa.de/SharedDocs/Downloads/DE/Energie/eew_infoblatt_co2_faktoren_2022.pdf?__blob=publicationFile&amp;v=6</t>
  </si>
  <si>
    <t>Standardfaktoren für Brennstoffe aus der nationalen Treibhausgasinventur zur Anwendung für die Ebene 2a in Österreich</t>
  </si>
  <si>
    <t>https://www.bmk.gv.at/dam/jcr:81f399e8-e965-4a16-b118-9402e05778f3/Standardfaktoren_Ebene2a_ua.pdf</t>
  </si>
  <si>
    <t>Klimarelevanz ausgewählter Recycling-Prozesse in Österreich</t>
  </si>
  <si>
    <t>https://www.umweltbundesamt.at/fileadmin/site/publikationen/rep0303.pdf</t>
  </si>
  <si>
    <t>Abfallbehalndlung</t>
  </si>
  <si>
    <t>Rückbau/Abriss</t>
  </si>
  <si>
    <t>Elektrostahl</t>
  </si>
  <si>
    <t>Konverterstahl</t>
  </si>
  <si>
    <t>Verbrennungsprozess</t>
  </si>
  <si>
    <t>Verbrennnungsprozess von Ausgangsstoff Erdöl, Altreifen</t>
  </si>
  <si>
    <t>22 kg CH4/Tonne Kohlenstoff</t>
  </si>
  <si>
    <t>https://www.umweltbundesamt.at/fileadmin/site/publikationen/rep0816.pdf</t>
  </si>
  <si>
    <t>0,02 Tonnen C/Tonne Abfall (2020)</t>
  </si>
  <si>
    <t>Seite: 199 ff</t>
  </si>
  <si>
    <t>Deponien:</t>
  </si>
  <si>
    <t>PET</t>
  </si>
  <si>
    <t>Recyclingrohstoff</t>
  </si>
  <si>
    <t>primär</t>
  </si>
  <si>
    <t>Polyethylen, hohe Dichte: HDPE</t>
  </si>
  <si>
    <t>sek.</t>
  </si>
  <si>
    <t>Kunststoffe (Proxy: PET)</t>
  </si>
  <si>
    <t>Sekundärprodukt</t>
  </si>
  <si>
    <t xml:space="preserve">[Rec] </t>
  </si>
  <si>
    <t>Sekundär</t>
  </si>
  <si>
    <t>Flachglas</t>
  </si>
  <si>
    <t>https://www.bau-epd.at/fileadmin/user_upload/epds_Deutsch/BAU-EPD-MARIENHUETTE-2020-1-Ecoinvent-Baustahl_20200326.pdf</t>
  </si>
  <si>
    <t>https://www.pittini.com/wp-content/uploads/sites/21/Pittini-Gruppe-elektrogeschweisste-matten-und-gittertrager-DEU.pdf</t>
  </si>
  <si>
    <t>https://www.rivastahl.com/items/787/allegati/1/Rivastahl_Umwelt-Produktdeklaration.pdf</t>
  </si>
  <si>
    <t>Fvz. Baustähle</t>
  </si>
  <si>
    <t>https://www.pittini.com/wp-content/uploads/sites/21/Pittini-Gruppe-rundstahl-vom-coil-und-in-staben-EPD-zertifizierung-DEU.pdf</t>
  </si>
  <si>
    <t>Dichte / Umrechnung</t>
  </si>
  <si>
    <t>Klimaschutzbericht 2022</t>
  </si>
  <si>
    <t>Modul C</t>
  </si>
  <si>
    <t>Modul D</t>
  </si>
  <si>
    <t>https://oekobaudat.de/OEKOBAU.DAT/datasetdetail/process.xhtml?lang=de&amp;uuid=f5c6cbd6-258c-4542-876a-1d44adfc0992</t>
  </si>
  <si>
    <t>Stäbe und Ringe / Pittini - Rundstahl</t>
  </si>
  <si>
    <t>Stäbe und Ringe / Marienhütte</t>
  </si>
  <si>
    <t>Stäbe und Ringe / Mittelwert</t>
  </si>
  <si>
    <t>Gitterträger / Pittini</t>
  </si>
  <si>
    <t>Matten / Riva Stahl</t>
  </si>
  <si>
    <t>Matten / Pittini geschweisst</t>
  </si>
  <si>
    <t>Matten / Mittelwert</t>
  </si>
  <si>
    <t>Prestressed Concrete Steel Wire Strand (PC Strand) - SIW</t>
  </si>
  <si>
    <t>https://environdec.com/library/epd5640</t>
  </si>
  <si>
    <t>Spannstahl / Mittelwert</t>
  </si>
  <si>
    <t>Stab- und Profilstähle / Mittelwert</t>
  </si>
  <si>
    <t>Grobbleche (ab 5 mm Dicke) / Voestalpine</t>
  </si>
  <si>
    <t>Grobbleche (ab 5 mm Dicke) / Mittelwert</t>
  </si>
  <si>
    <t>Hohlprofile / ArcelorMittal Structural Hollow sections</t>
  </si>
  <si>
    <t>Hohlprofile / Mannesmann MSH® Profile Rohre</t>
  </si>
  <si>
    <t>Hohlprofile / Mittelwert</t>
  </si>
  <si>
    <t>https://epd-online.com/Epd/PdfDownload?id=16736&amp;stat=true</t>
  </si>
  <si>
    <t>https://www.voestalpine.com/stahl/content/download/55574/file/Grobblech-voestalpine-DE-22032023.pdf?inLanguage=ger-DE</t>
  </si>
  <si>
    <t>https://epd-online.com/Epd/PdfDownload?id=12312&amp;stat=true</t>
  </si>
  <si>
    <t>https://epd-online.com/Epd/PdfDownload?id=14935&amp;stat=true</t>
  </si>
  <si>
    <t>X0(A)</t>
  </si>
  <si>
    <t>UHPC 0 (F0%)</t>
  </si>
  <si>
    <t>UHPC 3 (F0,55%)</t>
  </si>
  <si>
    <t>UHPC 6 (F1,2%)</t>
  </si>
  <si>
    <t>UHPC 8 (F2,25%)</t>
  </si>
  <si>
    <t>Aluminiumprofil pulverbeschichtet</t>
  </si>
  <si>
    <t>Aluminiumprofil eloxiert</t>
  </si>
  <si>
    <t>C1-C4 Extrapolation aus https://environdec.com/library/epd5713</t>
  </si>
  <si>
    <t>C1-C4 aus https://environdec.com/library/epd4820</t>
  </si>
  <si>
    <t xml:space="preserve">Mineralwolle-Dämmstoff </t>
  </si>
  <si>
    <t>Stahl verzinkt - Typ A nach RVS 15.04.21</t>
  </si>
  <si>
    <t>Stahl verzinkt - Typ B nach RVS 15.04.21</t>
  </si>
  <si>
    <t>Stahl verzinkt - Typ C nach RVS 15.04.21</t>
  </si>
  <si>
    <t>Stahl verzinkt - Typ F nach RVS 15.04.21</t>
  </si>
  <si>
    <t>Stahl verzinkt - Typ W nach RVS 15.04.21</t>
  </si>
  <si>
    <t>Alu beschichtet - Typ A nach RVS 15.04.21</t>
  </si>
  <si>
    <t>Alu beschichtet - Typ B nach RVS 15.04.21</t>
  </si>
  <si>
    <t>Alu beschichtet - Typ F nach RVS 15.04.21</t>
  </si>
  <si>
    <t>Alu eloxiert - Typ A nach RVS 15.04.21</t>
  </si>
  <si>
    <t>Alu eloxiert - Typ B nach RVS 15.04.21</t>
  </si>
  <si>
    <t>Alu eloxiert - Typ F nach RVS 15.04.21</t>
  </si>
  <si>
    <t>Aluminiumblech</t>
  </si>
  <si>
    <t xml:space="preserve">Aluminiumelemente haben laermseitig eine Lochstruktur und sind meist mit Mineralwollmatten gefuellt. </t>
  </si>
  <si>
    <t>https://awkgmbh.de/unsere-produkte.html</t>
  </si>
  <si>
    <t>Holzbeton</t>
  </si>
  <si>
    <t>m3</t>
  </si>
  <si>
    <t>m2</t>
  </si>
  <si>
    <t>kg/m3</t>
  </si>
  <si>
    <t>kg/m2</t>
  </si>
  <si>
    <t>bezogen auf Hochbau in D; Umrechnungsfaktor auf 1kg= 0,002669; Stahlgehalt 4,89 kg/m2</t>
  </si>
  <si>
    <t>Umrechnung auf m2</t>
  </si>
  <si>
    <t>m2/mm</t>
  </si>
  <si>
    <t>(Umweltproduktdeklaration (EPD) EPD-FEI-20160042-IBG1-EN)</t>
  </si>
  <si>
    <t>Kalottenlager klein (Max. Vertikallast im GZT = 1.000 kN)</t>
  </si>
  <si>
    <t>Kalottenlager mittel (Max. Vertikallast im GZT = 10.000 kN)</t>
  </si>
  <si>
    <t>Kalottenlager groß (Max. Vertikallast im GZT = 20.000 kN)</t>
  </si>
  <si>
    <t>Topflager klein (Max. Tragfähigkeit GZT/ULS) = 4.496 kN)</t>
  </si>
  <si>
    <t>Topflager mittel (Max. Tragfähigkeit GZT/ULS) = 20.986 kN)</t>
  </si>
  <si>
    <t>Topflager groß (Max. Tragfähigkeit GZT/ULS) = 44.098 kN)</t>
  </si>
  <si>
    <t>Elastomerlager klein 350 x 450</t>
  </si>
  <si>
    <t> - (Compression under zero displacement: F=3091 kN)</t>
  </si>
  <si>
    <t>Elastomerlager mittel 600 x 700</t>
  </si>
  <si>
    <t xml:space="preserve"> - (Compression under zero displacement: F=10329 kN)</t>
  </si>
  <si>
    <t>Elastomerlager groß 700 x 800</t>
  </si>
  <si>
    <t xml:space="preserve"> - (Compression under zero displacement: F=16772 kN)</t>
  </si>
  <si>
    <t>FÜG: Stahlprofile aus S235 und S355 - KLEIN (100 kg/lfm)</t>
  </si>
  <si>
    <t>FÜG: Stahlprofile aus S235 und S355 - GROSS (300 kg/lfm)</t>
  </si>
  <si>
    <t>Entsorgungs-
phase</t>
  </si>
  <si>
    <t>Check ReT</t>
  </si>
  <si>
    <t>PC-strand - Prestressed steel for reinforcement of concrete</t>
  </si>
  <si>
    <t>https://api.environdec.com/api/v1/EPDLibrary/Files/09a55c6f-8beb-47ed-a707-e8bc70f1b29b/Data</t>
  </si>
  <si>
    <t>https://www.voestalpine.com/colofer/content/download/50773/file/2022_EPD_organic_coated_steel_strip_voestalpine.pdf?inLanguage=eng-GB</t>
  </si>
  <si>
    <t>https://www.superlit.com/wp/wp-content/uploads/2021/01/S-P-01994-EPD-SUPERLIT.pdf</t>
  </si>
  <si>
    <t>Geometriedaten laut RVS 15.04.21</t>
  </si>
  <si>
    <t>https://www.prefa.ch/fileadmin/user_upload/Standarddokumente/Deutsch/Umwelt-Produktdeklaration/PREFA_EPD_Blankes_Aluminiumblech.pdf</t>
  </si>
  <si>
    <t>https://storage.googleapis.com/flachglas-backend/2019_07_17_FG_Wernberg_M_EPD_FG_ESG_VSG_534b1c27bc/2019_07_17_FG_Wernberg_M_EPD_FG_ESG_VSG_534b1c27bc.pdf</t>
  </si>
  <si>
    <t>https://betonwerk-bieren.de/wp-content/uploads/2021/04/2021-01-21_EPD_Betonwerk-Bieren.pdf</t>
  </si>
  <si>
    <t>KVH Konstruktionsvollholz Stora Enso</t>
  </si>
  <si>
    <t>Planed timber Stora Enso</t>
  </si>
  <si>
    <t>CLT (Cross Laminated Timber) - Kreuzlagensperrholz Stora Enso</t>
  </si>
  <si>
    <t>Massivholz</t>
  </si>
  <si>
    <t>Holzverschalung</t>
  </si>
  <si>
    <t>https://www.storaenso.com/-/media/documents/download-center/certificates/wood-products-approvals-and-certificates/epd/stora-enso-epd-kvh-2021.pdf</t>
  </si>
  <si>
    <t>https://www.storaenso.com/-/media/documents/download-center/certificates/wood-products-approvals-and-certificates/epd/stora-enso-epd-classic-planed-2021.pdf</t>
  </si>
  <si>
    <t>https://www.storaenso.com/-/media/documents/download-center/certificates/wood-products-approvals-and-certificates/epd/stora-enso-epd-clt-2021.pdf</t>
  </si>
  <si>
    <t>Stab- und Profilstähle / ArcelorMittal Xcarb</t>
  </si>
  <si>
    <t>Rohr- und Schachtsysteme aus Beton</t>
  </si>
  <si>
    <t>Betonpflasterstein grau mit Vorsatz (Stärke 10 cm)</t>
  </si>
  <si>
    <t>https://oekobaudat.de/OEKOBAU.DAT/datasetdetail/process.xhtml?uuid=78fb80c2-6d74-49fe-97fa-4d436af75106&amp;version=20.23.050</t>
  </si>
  <si>
    <t>elastische Belagsdehnfuge ist im Asphaltoberbau inkludiert</t>
  </si>
  <si>
    <t>Beschichtungssysteme gem. RVS 15.05.11</t>
  </si>
  <si>
    <t>Abdichtungssystem A1 bzw. A2 gem. RVS 15.03.12</t>
  </si>
  <si>
    <t>Bitumenbahnen G 200 S4 (D)</t>
  </si>
  <si>
    <t>kg CO2e pro EH EPD</t>
  </si>
  <si>
    <r>
      <t>* Achtung: B2 in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angegeben</t>
    </r>
  </si>
  <si>
    <t>Entwässerungsrohre</t>
  </si>
  <si>
    <t>Flüssig aufzubringende Abdichtungssysteme (RVS 15.03.13)</t>
  </si>
  <si>
    <t>Polymerbitumenbahnen (RVS 15.03.12)</t>
  </si>
  <si>
    <t>800-1700 kg/m3</t>
  </si>
  <si>
    <t>Nutzungs-
phase</t>
  </si>
  <si>
    <t xml:space="preserve">Stahl / Edelstahl - Mischung für Lager </t>
  </si>
  <si>
    <t>abgeschätzt (0,9 Teile Stahl St355 und 0,1 Teil Edelstahl)</t>
  </si>
  <si>
    <t>weitere Option / eigenes Material (Straßenbelag Gesamt)</t>
  </si>
  <si>
    <t>GELÄNDER AUS STAHL (verzinkt)</t>
  </si>
  <si>
    <t>weitere Option / eigenes Geländer aus Stahl</t>
  </si>
  <si>
    <t>Lärmschutz-Paneele Glas</t>
  </si>
  <si>
    <t>Lärmschutz-Paneele Plexiglas</t>
  </si>
  <si>
    <t>weitere Option / eigenes Material (Hinterfüllmaterial)</t>
  </si>
  <si>
    <t>Zement - zur Stabilisierung</t>
  </si>
  <si>
    <t>Spundwände</t>
  </si>
  <si>
    <t>weitere Option / eigenes Material Spundwände</t>
  </si>
  <si>
    <t>Eingabefelder für eigene Materialien</t>
  </si>
  <si>
    <r>
      <t xml:space="preserve">A1-A3 übermittelt vom GVTP (neu kalkuliert mit aktuellen Rezepten der Betonhersteller &amp; </t>
    </r>
    <r>
      <rPr>
        <b/>
        <sz val="11"/>
        <color theme="1"/>
        <rFont val="Calibri"/>
        <family val="2"/>
        <scheme val="minor"/>
      </rPr>
      <t>beaufschlagt mit 10% Aufschlag für Importzemente</t>
    </r>
    <r>
      <rPr>
        <sz val="11"/>
        <color theme="1"/>
        <rFont val="Calibri"/>
        <family val="2"/>
        <scheme val="minor"/>
      </rPr>
      <t>;
A4 kalkuliert mit 20 km Transportweg Inland;
A5 und B1, sowie C1-C3 übernommen von C35/45 - EPD Ökobaudat Referenz;
* Phase B2 Instandhaltung mit Reparaturmörtel kalkuliert</t>
    </r>
  </si>
  <si>
    <t>Daten aus publizierten Quellen (vordergründig EPDs)</t>
  </si>
  <si>
    <t>Übertragung der Annahmen aus den EDP basierten Werten der Hauptmaterialien</t>
  </si>
  <si>
    <t>Daten aus Quellen für sehr ähnliche Materialien übernommen</t>
  </si>
  <si>
    <t>Daten aus publizierten Quellen extra-/interpoliert</t>
  </si>
  <si>
    <t>Kies (Korngröße 2 bis 63 mm)</t>
  </si>
  <si>
    <t>A4: Exceltabelle Abschätzung A4 Durchschnitt; A5 von Betonstahl Marienhütte übernommen und doppelten Aufwand bei Einbau abgeschätzt</t>
  </si>
  <si>
    <t>A4: Exceltabelle Abschätzung A4 Durchschnitt; A5 von Betonstahl Marienhütte übernommen</t>
  </si>
  <si>
    <t>A4 aus Transportrechner DeCarb 1ST (VIF 2020),  A5 von KVH aus D übernommen </t>
  </si>
  <si>
    <t>A4 aus Transportrechner DeCarb 1ST (VIF 2020)</t>
  </si>
  <si>
    <t>https://www.mageba-group.com/ch/data/docs/de_CH-1996/3129/DATASHEET-RESTON-POT-ch-de.pdf?v=1.1</t>
  </si>
  <si>
    <t>und</t>
  </si>
  <si>
    <t>Detailberechnung siehe DeCarb 1ST (VIF 2020)</t>
  </si>
  <si>
    <t>Detailberechnung siehe DeCarb 1ST (VIF 2020) , KGA1; in der Betriebsphase wurde angenommen, dass die Ankerplatten nicht getauscht werden und diese wurden mit  30% des Gesamtgewichts abgeschätzt</t>
  </si>
  <si>
    <t>Detailberechnung siehe DeCarb 1ST (VIF 2020) , KGA10; in der Betriebsphase wurde angenommen, dass die Ankerplatten nicht getauscht werden und diese wurden mit  30% des Gesamtgewichts abgeschätzt</t>
  </si>
  <si>
    <t>Detailberechnung siehe DeCarb 1ST (VIF 2020) , KGA20; in der Betriebsphase wurde angenommen, dass die Ankerplatten nicht getauscht werden und diese wurden mit  30% des Gesamtgewichts abgeschätzt</t>
  </si>
  <si>
    <t>Detailberechnung siehe DeCarb 1ST (VIF 2020); in der Betriebsphase wurde angenommen, dass die Ankerplatten nicht getauscht werden und diese wurden mit  30% des Gesamtgewichts abgeschätzt</t>
  </si>
  <si>
    <t>Beschichtung werkseitig</t>
  </si>
  <si>
    <t>Beschichtung baustellenseitig</t>
  </si>
  <si>
    <t>https://www.mageba-group.com/ch/data/docs/de_CH-1996/2594/BROCHURE-TENSA-FINGER-RSFD-ch-de.pdf?v=1.1</t>
  </si>
  <si>
    <t>KBOB / eco-bau / IPB  2009/1:2016</t>
  </si>
  <si>
    <t>A4 aus VIF 2020 Transportrechner und A5 aus weiterführendem Link</t>
  </si>
  <si>
    <t>https://www.fmi-mineralwolle.de/service/publikationen/infoblaetter/epd-mineralwolle-hohe-rohdichte</t>
  </si>
  <si>
    <t>https://www.plexiglas.de/files/plexiglas-content/pdf/sonstige-dokumente/EPD-Umwelterklaerung-PLEXIGLAS-Massivplatten.pdf</t>
  </si>
  <si>
    <t>https://www.rebloc.at/loesungen
https://www.schoenthaler.com/de/product-category/betonleitwaende/</t>
  </si>
  <si>
    <t xml:space="preserve">Kalkulation siehe Hintergrundinformationen </t>
  </si>
  <si>
    <t>Kalkulation siehe Hintergrundinformationen</t>
  </si>
  <si>
    <t>Beschichtungsverfahren</t>
  </si>
  <si>
    <t xml:space="preserve">EPD-BFS-20240011-IBG1-DE </t>
  </si>
  <si>
    <t>wobei in Phase C4 Szenario 3: Europäischer Durchschnitt 88 % Recycling, 11 % Wiederverwendung und 1 % Verlust gewählt wurde</t>
  </si>
  <si>
    <t>FRS-S einseitig; gedübelt, Aufhaltestufe N1</t>
  </si>
  <si>
    <t>FRS-S einseitig; gedübelt, Aufhaltestufe N2</t>
  </si>
  <si>
    <t>FRS-S einseitig; gedübelt, Aufhaltestufe H1</t>
  </si>
  <si>
    <t>FRS-S einseitig; gedübelt, Aufhaltestufe H2</t>
  </si>
  <si>
    <t>FRS-S einseitig; gedübelt, Aufhaltestufe H3</t>
  </si>
  <si>
    <t>FRS-S einseitig; gedübelt, Aufhaltestufe H4b</t>
  </si>
  <si>
    <t>FRS-S einseitig; gerammt, Aufhaltestufe N1</t>
  </si>
  <si>
    <t>FRS-S einseitig; gerammt, Aufhaltestufe N2</t>
  </si>
  <si>
    <t>FRS-S einseitig; gerammt, Aufhaltestufe H1</t>
  </si>
  <si>
    <t>FRS-S einseitig; gerammt, Aufhaltestufe H2</t>
  </si>
  <si>
    <t>FRS-S einseitig; gerammt, Aufhaltestufe H3</t>
  </si>
  <si>
    <t>FRS-S einseitig; gerammt, Aufhaltestufe H4b</t>
  </si>
  <si>
    <t>FRS-S beidseitig; gedübelt; Aufhaltestufe H3</t>
  </si>
  <si>
    <t>FRS-S beidseitig; gerammt; Aufhaltestufe H2</t>
  </si>
  <si>
    <t>FRS-S beidseitig; gerammt; Aufhaltestufe H3</t>
  </si>
  <si>
    <t>Laufmetergewichte der voestalpine Krems Finaltechnik</t>
  </si>
  <si>
    <t>C20/25/XC1</t>
  </si>
  <si>
    <t>C25/30/XC1</t>
  </si>
  <si>
    <t>C20/25/XC2</t>
  </si>
  <si>
    <t>C25/30/XC2</t>
  </si>
  <si>
    <t>C25/30/B1</t>
  </si>
  <si>
    <t>C25/30/B2</t>
  </si>
  <si>
    <t>C30/37/B2</t>
  </si>
  <si>
    <t>C16/20/B3</t>
  </si>
  <si>
    <t>C25/30/B3</t>
  </si>
  <si>
    <t>C30/37/B3</t>
  </si>
  <si>
    <t>C35/45/B3</t>
  </si>
  <si>
    <t>C40/50/B3</t>
  </si>
  <si>
    <t>C35/45/B4</t>
  </si>
  <si>
    <t>C40/50/B4</t>
  </si>
  <si>
    <t>C50/60/B4</t>
  </si>
  <si>
    <t>C25/30/B5</t>
  </si>
  <si>
    <t>C30/37/B5</t>
  </si>
  <si>
    <t>C35/45/B5</t>
  </si>
  <si>
    <t>C40/50/B5</t>
  </si>
  <si>
    <t>C25/30/B7</t>
  </si>
  <si>
    <t>C30/37/B7</t>
  </si>
  <si>
    <t>C25/30/B8</t>
  </si>
  <si>
    <t>C25/30/B9</t>
  </si>
  <si>
    <t>C25/30/B11</t>
  </si>
  <si>
    <t>C25/30/BS1A</t>
  </si>
  <si>
    <t>C25/30/BS1A-plus</t>
  </si>
  <si>
    <t>C25/30/BS1B</t>
  </si>
  <si>
    <t>C25/30/BS1B-plus</t>
  </si>
  <si>
    <t>C25/30/BS1C</t>
  </si>
  <si>
    <t>C25/30/BS1C-plus</t>
  </si>
  <si>
    <t>C25/30/BS2A</t>
  </si>
  <si>
    <t>C30/37/BS2A</t>
  </si>
  <si>
    <t>C25/30/BS2B</t>
  </si>
  <si>
    <t>C25/30/BS2C</t>
  </si>
  <si>
    <t>C35/45/BS2D1</t>
  </si>
  <si>
    <t>C40/50/BS2D1</t>
  </si>
  <si>
    <t>C30/37/BS2D2</t>
  </si>
  <si>
    <t>C35/45/BS2D2</t>
  </si>
  <si>
    <t>C40/50/BS2D2</t>
  </si>
  <si>
    <t>C25/30/BS-R1</t>
  </si>
  <si>
    <t>C50/60/XC3/XW1/GK22/F38</t>
  </si>
  <si>
    <t>C50/60/XC4/XW2/XA2T/GK16/F38</t>
  </si>
  <si>
    <t>C50/60/XC3/XW1/XF3/GK22/F38/BBG</t>
  </si>
  <si>
    <t>IG oder IS/C25/30(56)/XC3/XF3/XA1L</t>
  </si>
  <si>
    <t>I/BBG/C25/30(56)/XC3/XF3/XA1L</t>
  </si>
  <si>
    <t>WDI/C25/30(56)/XC4/XW2/XF3/F59 C3A-frei</t>
  </si>
  <si>
    <t>I/BBG/C25/30(56)/XC4/XW2/XF3/BBG</t>
  </si>
  <si>
    <t>SpC25/30(56)/ÜK3/J2/XC4/GK8/XA1/RV0,70</t>
  </si>
  <si>
    <t>SpC25/30(56)/ÜK3/J2/XC4/GK8/XA-T C3A-frei</t>
  </si>
  <si>
    <t>C30/37/XC4/XF3/RS/PB/GK16/F45</t>
  </si>
  <si>
    <t>C30/37/XC4/XF3/RS/PB/GK16/F45/FaB-BBG</t>
  </si>
  <si>
    <t>C16/20/XA1/GK22/F52</t>
  </si>
  <si>
    <t>C35/45/XA3/GK32/F52</t>
  </si>
  <si>
    <t>Stab- und Profilstähle / Liberty Ostrava</t>
  </si>
  <si>
    <t>https://www.lemu.dk/mediacdn/00010101000000/public/media/files/miljoevaredeklarationer-epd/liberty%20ostrava/epd%20libertyostrava%20structutal%20steel%20sections%20and%20merchant%20barrs%20en.pdf</t>
  </si>
  <si>
    <t>https://epd-online.com/EmbeddedEpdList/Download?id=18607</t>
  </si>
  <si>
    <t>bzw für C1-C4</t>
  </si>
  <si>
    <t>Grobbleche (ab 5 mm Dicke) / Xcarb ArcelorMittal</t>
  </si>
  <si>
    <t>Einheit in Tabelle 
A1-D (EPD)</t>
  </si>
  <si>
    <t>AC bin PmB</t>
  </si>
  <si>
    <t>AC bin PmB Ka15</t>
  </si>
  <si>
    <t>AC bin PmB Ka20</t>
  </si>
  <si>
    <t>AC trag</t>
  </si>
  <si>
    <t>AC trag PmB</t>
  </si>
  <si>
    <t>AC deck</t>
  </si>
  <si>
    <t>AC deck PmB</t>
  </si>
  <si>
    <t>AC deck PmB Ka18</t>
  </si>
  <si>
    <t>AC deck PmB Ka20</t>
  </si>
  <si>
    <t>SMA deck PmB</t>
  </si>
  <si>
    <t>SMA deck PmB Ka18</t>
  </si>
  <si>
    <t>SMA deck PmB Ka25</t>
  </si>
  <si>
    <t>SMA deck PmB Ka20</t>
  </si>
  <si>
    <t>MA</t>
  </si>
  <si>
    <t>MA PmB</t>
  </si>
  <si>
    <t>A1-A3 Werte der TU Wien für GESTRATA</t>
  </si>
  <si>
    <t>Leitwände lt. BAU-EPD-VOEB-2024-2-Ecoinvent-Beton-Konstruktive-Fertigteile-Infrastruktur-20240925-Webseite</t>
  </si>
  <si>
    <t>Gewichte aus alten Daten, GWP Werte seine Zeile 228</t>
  </si>
  <si>
    <t>aus  BAU-EPD-VOEB-2024-2-Ecoinvent-Beton-Konstruktive-Fertigteile-Infrastruktur-20240925-Webseite.pdf</t>
  </si>
  <si>
    <t xml:space="preserve"> </t>
  </si>
  <si>
    <t>https://www.wirsindfarbe.de/fileadmin/user_upload/Dokumente/EPDs/Polyester-Pulverlack.pdf</t>
  </si>
  <si>
    <t>https://www.wirsindfarbe.de/fileadmin/user_upload/Dokumente/EPDs/Epoxid-Pulverlack.pdf</t>
  </si>
  <si>
    <t>https://www.wirsindfarbe.de/fileadmin/user_upload/Dokumente/EPDs/Hybrid-Pulverlack.pdf</t>
  </si>
  <si>
    <t>https://oekobaudat.de/OEKOBAU.DAT/datasetdetail/process.xhtml?uuid=7f340509-9f45-45bb-a34e-1b94d204107c&amp;version=20.24.070&amp;stock=OBD_2024_I&amp;lang=de</t>
  </si>
  <si>
    <t>https://oekobaudat.de/OEKOBAU.DAT/datasetdetail/process.xhtml?uuid=717f4a1c-0df0-49e6-8169-528b50b01e56&amp;version=20.24.070&amp;stock=OBD_2024_I&amp;lang=de</t>
  </si>
  <si>
    <t>Feuerverzinktes Stahlblech (sphera solutions GmbH, Trägermaterial für colofer)</t>
  </si>
  <si>
    <t>m2 ??</t>
  </si>
  <si>
    <t>keine neue EPD gefunden :-(</t>
  </si>
  <si>
    <t xml:space="preserve">Massivholzplatte (Ein-, Zwei, Dreischichtplatte) (Tilly) (AT) </t>
  </si>
  <si>
    <t>https://www.tilly.at/palmCMSv3/_dateimanager/downloads/DE/EPD_TILLY_Naturholzplatte_de.pdf</t>
  </si>
  <si>
    <t>Brettschichtholz BSH ( Fichte, Tanne, Kiefer, Lärche oder Douglasie) (Rubner AT, IT)</t>
  </si>
  <si>
    <t>Brettschichtholz, Balkenschichtholz, (vorwiedgend Fichte), HASSLACHER Holding GmbH (AT,DE)</t>
  </si>
  <si>
    <t>https://www.rubner.com/wp-content/uploads/2023/07/glued-laminated-timber-update-1.pdf</t>
  </si>
  <si>
    <t>https://www.hasslacher.com/data/_dateimanager/zertifikate/de/Brettschichtholz/EPD_BSH_BaSH_BSHVB_SBT_ISO_14025_und_EN_15804_A2_HASSLACHER_Holding_GmbH_de.pdf</t>
  </si>
  <si>
    <t>Brettsperrholz (Fichten-, Tannen-, Kiefernholz) Mayr-Melnhof Holz Holding AG (AT)</t>
  </si>
  <si>
    <t>https://www.mm-holz.com/fileadmin/Bilder/Service/Technische_Dokumente/BSP_MM_Umweltproduktdeklaration_nach_ISO_14025_und_EN_15804_de_20290408.pdf</t>
  </si>
  <si>
    <t>LVL (Laminated Veneer Lumber) - Furnierschichtholz Stora Enso (Finnland)</t>
  </si>
  <si>
    <t>https://www.storaenso.com/-/media/documents/download-center/certificates/wood-products-approvals-and-certificates/epd/stora-enso-epd-lvl---may-2024.pdf</t>
  </si>
  <si>
    <t>https://oekobaudat.de/OEKOBAU.DAT/datasetdetail/process.xhtml?uuid=deae7522-47b9-47a8-b9a3-176db7c250ae&amp;version=20.24.070&amp;stock=OBD_2024_I&amp;lang=de</t>
  </si>
  <si>
    <t>https://oekobaudat.de/OEKOBAU.DAT/datasetdetail/process.xhtml?uuid=6ade4721-3262-4024-ab99-0265972b38bf&amp;version=20.24.070&amp;stock=OBD_2024_I&amp;lang=de</t>
  </si>
  <si>
    <t>https://oekobaudat.de/OEKOBAU.DAT/datasetdetail/process.xhtml?uuid=88c0f648-2316-4bbc-99b3-dbc636580088&amp;version=20.24.070&amp;stock=OBD_2024_I&amp;lang=de</t>
  </si>
  <si>
    <t>https://oekobaudat.de/OEKOBAU.DAT/datasetdetail/process.xhtml?uuid=27ccffb8-02ec-466d-b925-f6db91d4ef71&amp;version=20.24.070&amp;stock=OBD_2024_I&amp;lang=de</t>
  </si>
  <si>
    <t>https://www.baustoffkreislauf.ch/assets/publikationen_und_produkte/2024-05-22_epd-gesteinskornungen.pdf</t>
  </si>
  <si>
    <t xml:space="preserve">Rezyklierte GK 0/x mm (CH) </t>
  </si>
  <si>
    <t>Schotter 16/32</t>
  </si>
  <si>
    <t>https://oekobaudat.de/OEKOBAU.DAT/datasetdetail/process.xhtml?uuid=f4461491-586a-4770-9a04-716565e58c24&amp;version=20.24.070&amp;stock=OBD_2024_I&amp;lang=de</t>
  </si>
  <si>
    <t>Sand 0/2</t>
  </si>
  <si>
    <t>https://oekobaudat.de/OEKOBAU.DAT/datasetdetail/process.xhtml?uuid=286b0072-1001-4e5f-baa2-282230755243&amp;version=20.24.070&amp;stock=OBD_2024_I&amp;lang=de</t>
  </si>
  <si>
    <t>https://oekobaudat.de/OEKOBAU.DAT/datasetdetail/process.xhtml?uuid=d35a5f2a-d72c-41a3-9f64-ea1b1ec066d1&amp;version=20.24.070&amp;stock=OBD_2024_I&amp;lang=de</t>
  </si>
  <si>
    <t>Kies (Korngröße 2/32)</t>
  </si>
  <si>
    <t>rund</t>
  </si>
  <si>
    <t>gebrochen</t>
  </si>
  <si>
    <t>https://oekobaudat.de/OEKOBAU.DAT/datasetdetail/process.xhtml?uuid=54c74070-fb3c-4a44-a44a-e6a835490d7a&amp;version=00.00.014&amp;stock=OBD_2024_I&amp;lang=de</t>
  </si>
  <si>
    <t>https://oekobaudat.de/OEKOBAU.DAT/datasetdetail/process.xhtml?uuid=a589f092-5c54-42f1-8da6-317549f36e0c&amp;version=00.00.014&amp;stock=OBD_2024_I&amp;lang=de</t>
  </si>
  <si>
    <t>Steel sheet piling (Spundwand) - ArcelorMittal</t>
  </si>
  <si>
    <t>Steel sheet piling (Spundwand) - ArcelorMittal (Green Electricity)</t>
  </si>
  <si>
    <t>https://constructalia.arcelormittal.com/en/tools/epd</t>
  </si>
  <si>
    <t>https://oekobaudat.de/OEKOBAU.DAT/datasetdetail/process.xhtml?uuid=3154d0c8-8750-47e1-b005-d2a8fadee108&amp;version=20.24.070&amp;stock=OBD_2024_I&amp;lang=de</t>
  </si>
  <si>
    <t>https://oekobaudat.de/OEKOBAU.DAT/datasetdetail/process.xhtml?uuid=db7d83d8-6a14-48a1-8fc7-2fa442e4ec87&amp;version=20.24.070&amp;stock=OBD_2024_I&amp;lang=de</t>
  </si>
  <si>
    <t>https://oekobaudat.de/OEKOBAU.DAT/datasetdetail/process.xhtml?uuid=8f523337-8c99-4532-af0e-a1a9d3037a57&amp;version=20.24.070&amp;stock=OBD_2024_I&amp;lang=de</t>
  </si>
  <si>
    <t>https://oekobaudat.de/OEKOBAU.DAT/datasetdetail/process.xhtml?uuid=47decf82-b582-4e14-ab40-ddb026cd1f22&amp;version=20.24.070&amp;stock=OBD_2024_I&amp;lang=de</t>
  </si>
  <si>
    <t>https://oekobaudat.de/OEKOBAU.DAT/datasetdetail/process.xhtml?uuid=183aa7d9-93cc-4851-8b92-a5180db247cc&amp;version=20.24.070&amp;stock=OBD_2024_I&amp;lang=de</t>
  </si>
  <si>
    <t>A5 aus weiterführendem Link</t>
  </si>
  <si>
    <t>Für Phase C1-C4 wurde das Szenario Deponierung aus der EPD genommen</t>
  </si>
  <si>
    <t>https://epd-online.com/EmbeddedEpdList/Detail?id=15770</t>
  </si>
  <si>
    <t>Pflasterplatten</t>
  </si>
  <si>
    <t>Doppelwand</t>
  </si>
  <si>
    <t>Elementdecke</t>
  </si>
  <si>
    <t>Massivwand</t>
  </si>
  <si>
    <t>Holzmantelbetonplatten</t>
  </si>
  <si>
    <t>BAU-EPD-VOEB-2024-3-Ecoinvent-Beton-Flaechige_Halbfertigteile-20240925-Webseite</t>
  </si>
  <si>
    <t>BAU-EPD-VOEB-2024-1-Ecoinvent-Beton-Konstruktive-Fertigteile-Hochbau-20240523-Webseite</t>
  </si>
  <si>
    <t>BAU-EPD-VOEB-2024-7-Ecoinvent-Beton-Holzmantelbetonsteine_und_Mauersteine-20240925-Webseite</t>
  </si>
  <si>
    <t>Rohre</t>
  </si>
  <si>
    <t>Schächte</t>
  </si>
  <si>
    <t>Holzmantelbetonsteine bzw. -platte</t>
  </si>
  <si>
    <t>Mauersteine / Schalsteine</t>
  </si>
  <si>
    <t>BAU-EPD-VOEB-2024-7-Ecoinvent-Beton-Holzmantelbetonsteine_und_Mauersteine-20240925-Webseite.pdf</t>
  </si>
  <si>
    <t>BAU-EPD-VOEB-2024-6-Ecoinvent-Beton-Rohre_und_Schaechte-20240925-Webseite.pdf</t>
  </si>
  <si>
    <t>https://oekobaudat.de/OEKOBAU.DAT/datasetdetail/process.xhtml?uuid=d368f4bb-ae22-4e33-b9e4-22a7b27966c6&amp;version=00.02.000&amp;stock=OBD_2024_I&amp;lang=de</t>
  </si>
  <si>
    <t>Dränbeton/ Drainagebeton (i.idro DRAIN white version)</t>
  </si>
  <si>
    <t>Dränbeton/ Drainagebeton (i.idro DRAIN grey version)</t>
  </si>
  <si>
    <t>Daten aktualisiert</t>
  </si>
  <si>
    <t>Daten abgelaufen, keine neuen gefunden</t>
  </si>
  <si>
    <t>https://oekobaudat.de/OEKOBAU.DAT/datasetdetail/process.xhtml?uuid=2630158e-fc89-4b2d-bb7d-4a193fb58324&amp;version=20.24.070&amp;stock=OBD_2024_I&amp;lang=de</t>
  </si>
  <si>
    <t>forever?</t>
  </si>
  <si>
    <t>TU- Graz Prof. Juhart</t>
  </si>
  <si>
    <t>BUST - Veröffentlichung UIBK</t>
  </si>
  <si>
    <t>weitere Option / eigenes Material (Lärmschutzsockelbrett)</t>
  </si>
  <si>
    <t>Lärmschutzsockelbrett</t>
  </si>
  <si>
    <t>Lebensdauer 50 Jahre</t>
  </si>
  <si>
    <t>BAU-EPD-VOEB-2024-2-Ecoinvent-Beton-Konstruktive-Fertigteile-Infrastruktur-20240925-Webseite.pdf</t>
  </si>
  <si>
    <t>Nutzungsdauer 100 Jahre</t>
  </si>
  <si>
    <t>Nutzungsdauer 100 bzw. 50 Jahre</t>
  </si>
  <si>
    <t>Nutzungsdauer 100 bzw 50 Jahre</t>
  </si>
  <si>
    <t>Nutzungssdauer 50 Jahre</t>
  </si>
  <si>
    <t>weitere Option / eigener Spritzschutz</t>
  </si>
  <si>
    <t>Polycarbonatplatte</t>
  </si>
  <si>
    <t>BAU-EPD-VOEB-2024-5-Ecoinvent-Beton-Pflastersteine_und_-platten-20240925-Webseite</t>
  </si>
  <si>
    <t>Oberbeton</t>
  </si>
  <si>
    <t>Unterbeton</t>
  </si>
  <si>
    <t>Asphaltbinder</t>
  </si>
  <si>
    <t>Asphaltdeckschicht</t>
  </si>
  <si>
    <t>Tragschichten</t>
  </si>
  <si>
    <t>OB GK8</t>
  </si>
  <si>
    <t>UB GK32, RC, C1-2</t>
  </si>
  <si>
    <t>Modifizierte mineralische Mörtel der Gruppe 2</t>
  </si>
  <si>
    <t>https://oekobaudat.de/OEKOBAU.DAT/datasetdetail/process.xhtml?uuid=dcfd896b-9b7d-42a5-b47b-3643a8870e6a&amp;version=20.24.070&amp;stock=OBD_2024_I&amp;lang=de</t>
  </si>
  <si>
    <t>weitere Option / eigenes Material (Wand)</t>
  </si>
  <si>
    <t>Eigene Abschätzung Transport (A4) gemäß [1]</t>
  </si>
  <si>
    <t>Ergänzende Modellierung gemäß [1]</t>
  </si>
  <si>
    <t>nicht alle Angaben vollständig -besteht nur aus den vorhandenen Angaben</t>
  </si>
  <si>
    <t>seitens GVTB [2] und GESTRATA [7] erhobene Werte für Österr. Durschnitt</t>
  </si>
  <si>
    <t>Abschätzung Transport (A4) gemäß [1]</t>
  </si>
  <si>
    <t>aus [4] und [6] erhobene Werte für Österr. Durschnitt</t>
  </si>
  <si>
    <t>https://www.bau-epd.at/epd/data/voeb-betonfertigteile-holzmantelbetonsteine-bzw-platten-mauersteine-schalsteine-2-durchschnittsdatensaetze-ecoinvent-2024-kopie-1</t>
  </si>
  <si>
    <t>https://www.bau-epd.at/epd/data/voeb-betonfertigteile-konstruktiver-hochbau-8-durchschnittsdatensaetze-ecoinvent-2024-1</t>
  </si>
  <si>
    <t>https://www.bau-epd.at/epd/data/voeb-betonfertigteile-konstruktiver-hochbau-8-durchschnittsdatensaetze-ecoinvent-2024-1-2</t>
  </si>
  <si>
    <t>https://www.bau-epd.at/epd/data/voeb-betonfertigteile-flaechige-halbfertigteile-3-durchschnittsdatensaetze-ecoinvent-2024</t>
  </si>
  <si>
    <t>https://www.bau-epd.at/epd/data/voeb-betonfertigteile-konstruktiver-hochbau-8-durchschnittsdatensaetze-ecoinvent-2024-1-1</t>
  </si>
  <si>
    <t>https://www.bau-epd.at/epd/data/voeb-betonfertigteile-konstruktiver-hochbau-8-durchschnittsdatensaetze-ecoinvent-2024</t>
  </si>
  <si>
    <t>GWP-Katalog V2.0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</si>
</sst>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0.00000"/>
    <numFmt numFmtId="169" formatCode="&quot;Dicke =&quot;\ #,##0\ &quot;cm&quot;"/>
    <numFmt numFmtId="170" formatCode="&quot;Dicke =&quot;\ 0.0\ &quot;cm&quot;"/>
    <numFmt numFmtId="178" formatCode="0.0\ &quot;kg/m&quot;"/>
    <numFmt numFmtId="180" formatCode="#,##0\ &quot;t/m³&quot;"/>
    <numFmt numFmtId="181" formatCode="###0\ &quot;kg/m³&quot;"/>
    <numFmt numFmtId="182" formatCode="#,##0.00\ &quot;kg/m²&quot;"/>
    <numFmt numFmtId="183" formatCode="#,##0\ &quot;m²/kg&quot;"/>
    <numFmt numFmtId="184" formatCode="0&quot; µm&quot;"/>
    <numFmt numFmtId="185" formatCode="##\ &quot;kg/Stk&quot;"/>
    <numFmt numFmtId="186" formatCode="0.00\ &quot;kg/m&quot;"/>
    <numFmt numFmtId="188" formatCode="#,##0.0000"/>
    <numFmt numFmtId="192" formatCode="&quot;Dicke =&quot;\ #,##0.0\ &quot;cm&quot;"/>
    <numFmt numFmtId="195" formatCode="0.0\ &quot;*&quot;"/>
    <numFmt numFmtId="198" formatCode="###0\ &quot;kg/m3&quot;"/>
    <numFmt numFmtId="199" formatCode="0.00\ &quot;m3/lfm&quot;"/>
    <numFmt numFmtId="200" formatCode="#.##\ &quot;t/m3&quot;"/>
    <numFmt numFmtId="201" formatCode="###0\ &quot;kg/m2&quot;"/>
    <numFmt numFmtId="202" formatCode="#,##0\ &quot;m2/kg&quot;"/>
    <numFmt numFmtId="207" formatCode="#,##0\ &quot;kg/m3&quot;"/>
    <numFmt numFmtId="208" formatCode="0.00\ &quot;t/m3&quot;"/>
    <numFmt numFmtId="209" formatCode="###0.00\ &quot;kg/m2&quot;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8"/>
      <color rgb="FF6D6D6D"/>
      <name val="Tahoma"/>
      <family val="2"/>
    </font>
    <font>
      <sz val="11"/>
      <color rgb="FF9C0006"/>
      <name val="Arial"/>
      <family val="2"/>
    </font>
    <font>
      <sz val="11"/>
      <color rgb="FF00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BFBFB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F7F7F"/>
      <name val="Calibri"/>
      <family val="2"/>
      <scheme val="minor"/>
    </font>
    <font>
      <b/>
      <sz val="11"/>
      <color rgb="FF7F7F7F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i/>
      <sz val="11"/>
      <color rgb="FFA5A5A5"/>
      <name val="Calibri"/>
      <family val="2"/>
      <scheme val="minor"/>
    </font>
    <font>
      <sz val="11"/>
      <color rgb="FFA5A5A5"/>
      <name val="Calibri"/>
      <family val="2"/>
      <scheme val="minor"/>
    </font>
    <font>
      <u/>
      <sz val="11"/>
      <color rgb="FFA5A5A5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595959"/>
      <name val="Calibri"/>
      <family val="2"/>
      <scheme val="minor"/>
    </font>
    <font>
      <u/>
      <sz val="11"/>
      <color rgb="FF59595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11"/>
      <color rgb="FFA5A5A5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BFBFBF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36C09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95373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3" fillId="7" borderId="6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4" fillId="7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" fillId="3" borderId="0" applyNumberFormat="0" applyBorder="0" applyAlignment="0" applyProtection="0"/>
    <xf numFmtId="0" fontId="18" fillId="3" borderId="0" applyNumberFormat="0" applyBorder="0" applyAlignment="0" applyProtection="0"/>
    <xf numFmtId="43" fontId="1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/>
    <xf numFmtId="0" fontId="11" fillId="9" borderId="9" applyNumberFormat="0" applyFont="0" applyAlignment="0" applyProtection="0"/>
    <xf numFmtId="0" fontId="11" fillId="9" borderId="9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0" fillId="0" borderId="0"/>
    <xf numFmtId="0" fontId="1" fillId="0" borderId="0"/>
    <xf numFmtId="0" fontId="21" fillId="0" borderId="0"/>
    <xf numFmtId="0" fontId="20" fillId="0" borderId="0"/>
    <xf numFmtId="0" fontId="21" fillId="0" borderId="0"/>
    <xf numFmtId="0" fontId="1" fillId="0" borderId="0"/>
    <xf numFmtId="0" fontId="24" fillId="0" borderId="0"/>
    <xf numFmtId="0" fontId="1" fillId="0" borderId="0"/>
    <xf numFmtId="0" fontId="22" fillId="39" borderId="0" applyNumberFormat="0" applyFont="0" applyFill="0" applyBorder="0" applyAlignment="0" applyProtection="0">
      <alignment horizontal="left" vertical="top" wrapText="1"/>
    </xf>
    <xf numFmtId="0" fontId="21" fillId="0" borderId="0"/>
    <xf numFmtId="0" fontId="11" fillId="0" borderId="0"/>
    <xf numFmtId="0" fontId="1" fillId="0" borderId="0"/>
    <xf numFmtId="0" fontId="11" fillId="0" borderId="0"/>
    <xf numFmtId="0" fontId="25" fillId="0" borderId="2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8" borderId="8" applyNumberFormat="0" applyAlignment="0" applyProtection="0"/>
    <xf numFmtId="0" fontId="5" fillId="8" borderId="8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938">
    <xf numFmtId="0" fontId="0" fillId="0" borderId="0" xfId="0"/>
    <xf numFmtId="0" fontId="3" fillId="0" borderId="0" xfId="0" applyFont="1"/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33" xfId="0" applyFont="1" applyBorder="1" applyAlignment="1">
      <alignment wrapText="1"/>
    </xf>
    <xf numFmtId="0" fontId="3" fillId="36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9" fillId="0" borderId="0" xfId="0" applyFont="1"/>
    <xf numFmtId="0" fontId="7" fillId="36" borderId="0" xfId="0" applyFont="1" applyFill="1" applyAlignment="1">
      <alignment horizontal="left"/>
    </xf>
    <xf numFmtId="0" fontId="24" fillId="0" borderId="0" xfId="0" applyFont="1"/>
    <xf numFmtId="0" fontId="24" fillId="0" borderId="0" xfId="105" applyFont="1" applyBorder="1"/>
    <xf numFmtId="0" fontId="45" fillId="0" borderId="0" xfId="0" applyFont="1"/>
    <xf numFmtId="0" fontId="46" fillId="0" borderId="0" xfId="0" applyFont="1" applyAlignment="1">
      <alignment wrapText="1"/>
    </xf>
    <xf numFmtId="0" fontId="45" fillId="38" borderId="0" xfId="0" applyFont="1" applyFill="1"/>
    <xf numFmtId="0" fontId="46" fillId="0" borderId="0" xfId="0" applyFont="1"/>
    <xf numFmtId="0" fontId="45" fillId="0" borderId="0" xfId="105" applyFont="1" applyBorder="1"/>
    <xf numFmtId="0" fontId="34" fillId="0" borderId="33" xfId="0" applyFont="1" applyBorder="1"/>
    <xf numFmtId="0" fontId="31" fillId="0" borderId="23" xfId="0" applyFont="1" applyBorder="1" applyAlignment="1">
      <alignment wrapText="1"/>
    </xf>
    <xf numFmtId="0" fontId="48" fillId="0" borderId="0" xfId="0" applyFont="1"/>
    <xf numFmtId="0" fontId="44" fillId="0" borderId="0" xfId="0" applyFont="1"/>
    <xf numFmtId="0" fontId="50" fillId="0" borderId="0" xfId="0" applyFont="1"/>
    <xf numFmtId="0" fontId="51" fillId="0" borderId="0" xfId="0" applyFont="1"/>
    <xf numFmtId="0" fontId="52" fillId="0" borderId="0" xfId="105" applyFont="1"/>
    <xf numFmtId="0" fontId="55" fillId="0" borderId="0" xfId="0" applyFont="1"/>
    <xf numFmtId="0" fontId="9" fillId="0" borderId="0" xfId="0" applyFont="1"/>
    <xf numFmtId="0" fontId="63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64" fillId="37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0" fillId="0" borderId="0" xfId="103" applyFont="1"/>
    <xf numFmtId="10" fontId="0" fillId="0" borderId="0" xfId="103" applyNumberFormat="1" applyFont="1"/>
    <xf numFmtId="0" fontId="0" fillId="0" borderId="0" xfId="103" applyNumberFormat="1" applyFont="1"/>
    <xf numFmtId="2" fontId="0" fillId="0" borderId="0" xfId="103" applyNumberFormat="1" applyFont="1"/>
    <xf numFmtId="0" fontId="0" fillId="40" borderId="0" xfId="62" applyNumberFormat="1" applyFont="1" applyFill="1"/>
    <xf numFmtId="2" fontId="0" fillId="40" borderId="0" xfId="62" applyNumberFormat="1" applyFont="1" applyFill="1"/>
    <xf numFmtId="2" fontId="39" fillId="0" borderId="0" xfId="0" applyNumberFormat="1" applyFont="1"/>
    <xf numFmtId="164" fontId="39" fillId="45" borderId="33" xfId="0" applyNumberFormat="1" applyFont="1" applyFill="1" applyBorder="1" applyAlignment="1">
      <alignment horizontal="right"/>
    </xf>
    <xf numFmtId="0" fontId="67" fillId="0" borderId="0" xfId="0" applyFont="1"/>
    <xf numFmtId="0" fontId="45" fillId="40" borderId="33" xfId="0" applyFont="1" applyFill="1" applyBorder="1"/>
    <xf numFmtId="0" fontId="45" fillId="0" borderId="33" xfId="0" applyFont="1" applyBorder="1"/>
    <xf numFmtId="0" fontId="33" fillId="0" borderId="33" xfId="0" applyFont="1" applyBorder="1"/>
    <xf numFmtId="0" fontId="39" fillId="0" borderId="33" xfId="0" applyFont="1" applyBorder="1"/>
    <xf numFmtId="2" fontId="24" fillId="0" borderId="23" xfId="0" applyNumberFormat="1" applyFont="1" applyBorder="1"/>
    <xf numFmtId="0" fontId="39" fillId="0" borderId="23" xfId="0" applyFont="1" applyBorder="1"/>
    <xf numFmtId="0" fontId="34" fillId="0" borderId="23" xfId="0" applyFont="1" applyBorder="1"/>
    <xf numFmtId="0" fontId="9" fillId="0" borderId="34" xfId="0" applyFont="1" applyBorder="1" applyAlignment="1">
      <alignment horizontal="center"/>
    </xf>
    <xf numFmtId="2" fontId="24" fillId="0" borderId="33" xfId="0" applyNumberFormat="1" applyFont="1" applyBorder="1"/>
    <xf numFmtId="0" fontId="9" fillId="0" borderId="33" xfId="0" applyFont="1" applyBorder="1"/>
    <xf numFmtId="9" fontId="24" fillId="40" borderId="33" xfId="0" applyNumberFormat="1" applyFont="1" applyFill="1" applyBorder="1"/>
    <xf numFmtId="9" fontId="45" fillId="0" borderId="33" xfId="0" applyNumberFormat="1" applyFont="1" applyBorder="1"/>
    <xf numFmtId="9" fontId="39" fillId="0" borderId="33" xfId="0" applyNumberFormat="1" applyFont="1" applyBorder="1"/>
    <xf numFmtId="9" fontId="39" fillId="40" borderId="33" xfId="0" applyNumberFormat="1" applyFont="1" applyFill="1" applyBorder="1"/>
    <xf numFmtId="9" fontId="51" fillId="40" borderId="33" xfId="0" applyNumberFormat="1" applyFont="1" applyFill="1" applyBorder="1"/>
    <xf numFmtId="9" fontId="34" fillId="40" borderId="33" xfId="0" applyNumberFormat="1" applyFont="1" applyFill="1" applyBorder="1"/>
    <xf numFmtId="9" fontId="24" fillId="0" borderId="33" xfId="0" applyNumberFormat="1" applyFont="1" applyBorder="1"/>
    <xf numFmtId="0" fontId="24" fillId="0" borderId="23" xfId="0" applyFont="1" applyBorder="1"/>
    <xf numFmtId="0" fontId="45" fillId="40" borderId="23" xfId="0" applyFont="1" applyFill="1" applyBorder="1"/>
    <xf numFmtId="0" fontId="45" fillId="46" borderId="23" xfId="0" applyFont="1" applyFill="1" applyBorder="1"/>
    <xf numFmtId="0" fontId="24" fillId="40" borderId="23" xfId="0" applyFont="1" applyFill="1" applyBorder="1"/>
    <xf numFmtId="1" fontId="45" fillId="40" borderId="23" xfId="0" applyNumberFormat="1" applyFont="1" applyFill="1" applyBorder="1"/>
    <xf numFmtId="0" fontId="45" fillId="0" borderId="23" xfId="0" applyFont="1" applyBorder="1"/>
    <xf numFmtId="0" fontId="39" fillId="40" borderId="23" xfId="0" applyFont="1" applyFill="1" applyBorder="1"/>
    <xf numFmtId="1" fontId="51" fillId="40" borderId="23" xfId="0" applyNumberFormat="1" applyFont="1" applyFill="1" applyBorder="1"/>
    <xf numFmtId="0" fontId="34" fillId="40" borderId="23" xfId="0" applyFont="1" applyFill="1" applyBorder="1"/>
    <xf numFmtId="0" fontId="24" fillId="34" borderId="23" xfId="0" applyFont="1" applyFill="1" applyBorder="1" applyProtection="1">
      <protection locked="0"/>
    </xf>
    <xf numFmtId="0" fontId="9" fillId="0" borderId="23" xfId="0" applyFont="1" applyBorder="1"/>
    <xf numFmtId="0" fontId="33" fillId="0" borderId="23" xfId="0" applyFont="1" applyBorder="1"/>
    <xf numFmtId="9" fontId="39" fillId="45" borderId="23" xfId="0" applyNumberFormat="1" applyFont="1" applyFill="1" applyBorder="1"/>
    <xf numFmtId="9" fontId="51" fillId="45" borderId="23" xfId="0" applyNumberFormat="1" applyFont="1" applyFill="1" applyBorder="1"/>
    <xf numFmtId="9" fontId="34" fillId="45" borderId="23" xfId="0" applyNumberFormat="1" applyFont="1" applyFill="1" applyBorder="1"/>
    <xf numFmtId="0" fontId="55" fillId="0" borderId="23" xfId="0" applyFont="1" applyBorder="1"/>
    <xf numFmtId="0" fontId="24" fillId="34" borderId="33" xfId="0" applyFont="1" applyFill="1" applyBorder="1" applyProtection="1">
      <protection locked="0"/>
    </xf>
    <xf numFmtId="0" fontId="45" fillId="46" borderId="33" xfId="0" applyFont="1" applyFill="1" applyBorder="1"/>
    <xf numFmtId="0" fontId="24" fillId="40" borderId="33" xfId="0" applyFont="1" applyFill="1" applyBorder="1"/>
    <xf numFmtId="1" fontId="45" fillId="40" borderId="33" xfId="0" applyNumberFormat="1" applyFont="1" applyFill="1" applyBorder="1"/>
    <xf numFmtId="0" fontId="39" fillId="40" borderId="33" xfId="0" applyFont="1" applyFill="1" applyBorder="1"/>
    <xf numFmtId="1" fontId="51" fillId="40" borderId="33" xfId="0" applyNumberFormat="1" applyFont="1" applyFill="1" applyBorder="1"/>
    <xf numFmtId="0" fontId="34" fillId="40" borderId="33" xfId="0" applyFont="1" applyFill="1" applyBorder="1"/>
    <xf numFmtId="0" fontId="24" fillId="0" borderId="23" xfId="0" applyFont="1" applyBorder="1" applyProtection="1">
      <protection locked="0"/>
    </xf>
    <xf numFmtId="1" fontId="45" fillId="0" borderId="23" xfId="0" applyNumberFormat="1" applyFont="1" applyBorder="1"/>
    <xf numFmtId="0" fontId="45" fillId="47" borderId="23" xfId="0" applyFont="1" applyFill="1" applyBorder="1"/>
    <xf numFmtId="1" fontId="51" fillId="0" borderId="23" xfId="0" applyNumberFormat="1" applyFont="1" applyBorder="1"/>
    <xf numFmtId="9" fontId="68" fillId="38" borderId="0" xfId="103" applyFont="1" applyFill="1"/>
    <xf numFmtId="0" fontId="24" fillId="50" borderId="23" xfId="0" applyFont="1" applyFill="1" applyBorder="1"/>
    <xf numFmtId="0" fontId="24" fillId="50" borderId="23" xfId="0" applyFont="1" applyFill="1" applyBorder="1" applyAlignment="1">
      <alignment vertical="center"/>
    </xf>
    <xf numFmtId="0" fontId="45" fillId="50" borderId="23" xfId="0" applyFont="1" applyFill="1" applyBorder="1"/>
    <xf numFmtId="0" fontId="34" fillId="50" borderId="23" xfId="0" applyFont="1" applyFill="1" applyBorder="1"/>
    <xf numFmtId="0" fontId="39" fillId="50" borderId="23" xfId="0" applyFont="1" applyFill="1" applyBorder="1"/>
    <xf numFmtId="0" fontId="51" fillId="50" borderId="23" xfId="0" applyFont="1" applyFill="1" applyBorder="1"/>
    <xf numFmtId="178" fontId="39" fillId="50" borderId="23" xfId="0" applyNumberFormat="1" applyFont="1" applyFill="1" applyBorder="1"/>
    <xf numFmtId="0" fontId="44" fillId="50" borderId="23" xfId="0" applyFont="1" applyFill="1" applyBorder="1"/>
    <xf numFmtId="2" fontId="55" fillId="50" borderId="23" xfId="0" applyNumberFormat="1" applyFont="1" applyFill="1" applyBorder="1"/>
    <xf numFmtId="2" fontId="0" fillId="0" borderId="0" xfId="103" applyNumberFormat="1" applyFont="1" applyFill="1"/>
    <xf numFmtId="2" fontId="24" fillId="52" borderId="23" xfId="0" applyNumberFormat="1" applyFont="1" applyFill="1" applyBorder="1"/>
    <xf numFmtId="0" fontId="24" fillId="52" borderId="23" xfId="0" applyFont="1" applyFill="1" applyBorder="1"/>
    <xf numFmtId="0" fontId="30" fillId="41" borderId="0" xfId="0" applyFont="1" applyFill="1"/>
    <xf numFmtId="165" fontId="0" fillId="34" borderId="0" xfId="103" applyNumberFormat="1" applyFont="1" applyFill="1"/>
    <xf numFmtId="0" fontId="63" fillId="0" borderId="26" xfId="0" applyFont="1" applyBorder="1" applyAlignment="1">
      <alignment horizontal="center" wrapText="1"/>
    </xf>
    <xf numFmtId="0" fontId="63" fillId="0" borderId="25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 wrapText="1"/>
    </xf>
    <xf numFmtId="0" fontId="62" fillId="2" borderId="1" xfId="0" applyFont="1" applyFill="1" applyBorder="1" applyAlignment="1">
      <alignment vertical="top"/>
    </xf>
    <xf numFmtId="0" fontId="69" fillId="2" borderId="1" xfId="0" applyFont="1" applyFill="1" applyBorder="1" applyAlignment="1">
      <alignment vertical="top"/>
    </xf>
    <xf numFmtId="0" fontId="70" fillId="50" borderId="23" xfId="0" applyFont="1" applyFill="1" applyBorder="1"/>
    <xf numFmtId="9" fontId="39" fillId="40" borderId="33" xfId="0" applyNumberFormat="1" applyFont="1" applyFill="1" applyBorder="1" applyAlignment="1">
      <alignment vertical="center"/>
    </xf>
    <xf numFmtId="0" fontId="24" fillId="35" borderId="33" xfId="0" applyFont="1" applyFill="1" applyBorder="1"/>
    <xf numFmtId="0" fontId="24" fillId="35" borderId="23" xfId="0" applyFont="1" applyFill="1" applyBorder="1"/>
    <xf numFmtId="0" fontId="0" fillId="0" borderId="32" xfId="0" applyBorder="1"/>
    <xf numFmtId="0" fontId="0" fillId="0" borderId="30" xfId="0" applyBorder="1"/>
    <xf numFmtId="0" fontId="0" fillId="0" borderId="0" xfId="0" applyAlignment="1">
      <alignment wrapText="1"/>
    </xf>
    <xf numFmtId="0" fontId="0" fillId="0" borderId="28" xfId="0" applyBorder="1"/>
    <xf numFmtId="0" fontId="0" fillId="0" borderId="33" xfId="0" applyBorder="1"/>
    <xf numFmtId="0" fontId="0" fillId="34" borderId="0" xfId="0" applyFill="1" applyProtection="1">
      <protection locked="0"/>
    </xf>
    <xf numFmtId="0" fontId="0" fillId="0" borderId="0" xfId="0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42" borderId="0" xfId="0" applyFill="1"/>
    <xf numFmtId="0" fontId="0" fillId="0" borderId="11" xfId="0" applyBorder="1"/>
    <xf numFmtId="0" fontId="0" fillId="0" borderId="20" xfId="0" applyBorder="1"/>
    <xf numFmtId="0" fontId="0" fillId="0" borderId="0" xfId="0" applyAlignment="1">
      <alignment horizontal="right"/>
    </xf>
    <xf numFmtId="0" fontId="0" fillId="0" borderId="15" xfId="0" applyBorder="1"/>
    <xf numFmtId="0" fontId="0" fillId="0" borderId="21" xfId="0" applyBorder="1"/>
    <xf numFmtId="0" fontId="0" fillId="0" borderId="0" xfId="0" applyProtection="1">
      <protection locked="0"/>
    </xf>
    <xf numFmtId="0" fontId="32" fillId="0" borderId="0" xfId="105"/>
    <xf numFmtId="0" fontId="0" fillId="0" borderId="23" xfId="0" applyBorder="1"/>
    <xf numFmtId="0" fontId="0" fillId="0" borderId="36" xfId="0" applyBorder="1" applyAlignment="1">
      <alignment wrapText="1"/>
    </xf>
    <xf numFmtId="0" fontId="0" fillId="0" borderId="33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4" xfId="0" applyBorder="1"/>
    <xf numFmtId="0" fontId="0" fillId="42" borderId="24" xfId="0" applyFill="1" applyBorder="1"/>
    <xf numFmtId="0" fontId="0" fillId="0" borderId="36" xfId="0" applyBorder="1"/>
    <xf numFmtId="0" fontId="0" fillId="42" borderId="36" xfId="0" applyFill="1" applyBorder="1"/>
    <xf numFmtId="0" fontId="0" fillId="36" borderId="0" xfId="0" applyFill="1" applyAlignment="1">
      <alignment horizontal="center"/>
    </xf>
    <xf numFmtId="0" fontId="0" fillId="36" borderId="0" xfId="0" applyFill="1"/>
    <xf numFmtId="0" fontId="0" fillId="36" borderId="33" xfId="0" applyFill="1" applyBorder="1" applyAlignment="1">
      <alignment horizontal="center"/>
    </xf>
    <xf numFmtId="0" fontId="0" fillId="36" borderId="33" xfId="0" applyFill="1" applyBorder="1"/>
    <xf numFmtId="0" fontId="0" fillId="36" borderId="23" xfId="0" applyFill="1" applyBorder="1"/>
    <xf numFmtId="0" fontId="0" fillId="36" borderId="23" xfId="0" applyFill="1" applyBorder="1" applyAlignment="1">
      <alignment horizontal="center"/>
    </xf>
    <xf numFmtId="0" fontId="0" fillId="40" borderId="0" xfId="0" applyFill="1"/>
    <xf numFmtId="2" fontId="0" fillId="0" borderId="0" xfId="0" applyNumberFormat="1"/>
    <xf numFmtId="0" fontId="0" fillId="44" borderId="0" xfId="0" applyFill="1"/>
    <xf numFmtId="9" fontId="0" fillId="0" borderId="0" xfId="0" applyNumberFormat="1"/>
    <xf numFmtId="0" fontId="0" fillId="41" borderId="0" xfId="0" applyFill="1"/>
    <xf numFmtId="0" fontId="32" fillId="0" borderId="0" xfId="106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9" fontId="32" fillId="0" borderId="0" xfId="106" applyNumberFormat="1"/>
    <xf numFmtId="0" fontId="0" fillId="56" borderId="0" xfId="0" applyFill="1"/>
    <xf numFmtId="0" fontId="0" fillId="60" borderId="0" xfId="0" applyFill="1"/>
    <xf numFmtId="0" fontId="32" fillId="60" borderId="0" xfId="106" applyFill="1"/>
    <xf numFmtId="166" fontId="0" fillId="56" borderId="0" xfId="0" applyNumberFormat="1" applyFill="1"/>
    <xf numFmtId="0" fontId="0" fillId="34" borderId="0" xfId="0" applyFill="1"/>
    <xf numFmtId="167" fontId="0" fillId="60" borderId="0" xfId="0" applyNumberFormat="1" applyFill="1"/>
    <xf numFmtId="165" fontId="0" fillId="41" borderId="0" xfId="0" applyNumberFormat="1" applyFill="1"/>
    <xf numFmtId="188" fontId="0" fillId="44" borderId="0" xfId="0" applyNumberFormat="1" applyFill="1"/>
    <xf numFmtId="167" fontId="0" fillId="44" borderId="0" xfId="0" applyNumberFormat="1" applyFill="1"/>
    <xf numFmtId="0" fontId="71" fillId="41" borderId="0" xfId="0" applyFont="1" applyFill="1"/>
    <xf numFmtId="0" fontId="72" fillId="60" borderId="0" xfId="0" applyFont="1" applyFill="1"/>
    <xf numFmtId="0" fontId="24" fillId="44" borderId="33" xfId="0" applyFont="1" applyFill="1" applyBorder="1" applyAlignment="1">
      <alignment horizontal="right"/>
    </xf>
    <xf numFmtId="0" fontId="39" fillId="0" borderId="28" xfId="0" applyFont="1" applyBorder="1"/>
    <xf numFmtId="0" fontId="45" fillId="0" borderId="23" xfId="0" applyFont="1" applyBorder="1" applyAlignment="1">
      <alignment horizontal="right"/>
    </xf>
    <xf numFmtId="0" fontId="24" fillId="0" borderId="23" xfId="0" applyFont="1" applyBorder="1" applyAlignment="1">
      <alignment horizontal="right"/>
    </xf>
    <xf numFmtId="0" fontId="24" fillId="0" borderId="23" xfId="0" applyFont="1" applyBorder="1" applyAlignment="1">
      <alignment horizontal="right" vertical="center"/>
    </xf>
    <xf numFmtId="0" fontId="34" fillId="0" borderId="23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0" fontId="51" fillId="0" borderId="23" xfId="0" applyFont="1" applyBorder="1" applyAlignment="1">
      <alignment horizontal="right"/>
    </xf>
    <xf numFmtId="2" fontId="24" fillId="0" borderId="23" xfId="0" applyNumberFormat="1" applyFont="1" applyBorder="1" applyAlignment="1">
      <alignment horizontal="right"/>
    </xf>
    <xf numFmtId="0" fontId="48" fillId="0" borderId="23" xfId="0" applyFont="1" applyBorder="1" applyAlignment="1">
      <alignment horizontal="right"/>
    </xf>
    <xf numFmtId="0" fontId="55" fillId="0" borderId="23" xfId="0" applyFont="1" applyBorder="1" applyAlignment="1">
      <alignment horizontal="right"/>
    </xf>
    <xf numFmtId="0" fontId="45" fillId="50" borderId="0" xfId="0" applyFont="1" applyFill="1" applyAlignment="1">
      <alignment horizontal="right"/>
    </xf>
    <xf numFmtId="0" fontId="34" fillId="50" borderId="0" xfId="0" applyFont="1" applyFill="1" applyAlignment="1">
      <alignment horizontal="right"/>
    </xf>
    <xf numFmtId="0" fontId="51" fillId="50" borderId="0" xfId="0" applyFont="1" applyFill="1" applyAlignment="1">
      <alignment horizontal="right"/>
    </xf>
    <xf numFmtId="0" fontId="3" fillId="0" borderId="17" xfId="0" applyFont="1" applyBorder="1"/>
    <xf numFmtId="0" fontId="31" fillId="0" borderId="33" xfId="0" applyFont="1" applyBorder="1" applyAlignment="1">
      <alignment horizontal="center" wrapText="1"/>
    </xf>
    <xf numFmtId="0" fontId="31" fillId="0" borderId="23" xfId="0" applyFont="1" applyBorder="1" applyAlignment="1">
      <alignment horizontal="center" wrapText="1"/>
    </xf>
    <xf numFmtId="164" fontId="24" fillId="35" borderId="33" xfId="0" applyNumberFormat="1" applyFont="1" applyFill="1" applyBorder="1" applyAlignment="1">
      <alignment horizontal="right"/>
    </xf>
    <xf numFmtId="164" fontId="24" fillId="42" borderId="0" xfId="0" applyNumberFormat="1" applyFont="1" applyFill="1" applyAlignment="1">
      <alignment horizontal="right"/>
    </xf>
    <xf numFmtId="164" fontId="24" fillId="34" borderId="33" xfId="0" applyNumberFormat="1" applyFont="1" applyFill="1" applyBorder="1" applyAlignment="1" applyProtection="1">
      <alignment horizontal="right"/>
      <protection locked="0"/>
    </xf>
    <xf numFmtId="164" fontId="45" fillId="40" borderId="0" xfId="0" applyNumberFormat="1" applyFont="1" applyFill="1" applyAlignment="1">
      <alignment horizontal="right"/>
    </xf>
    <xf numFmtId="164" fontId="45" fillId="0" borderId="0" xfId="0" applyNumberFormat="1" applyFont="1" applyAlignment="1">
      <alignment horizontal="right"/>
    </xf>
    <xf numFmtId="164" fontId="30" fillId="40" borderId="33" xfId="0" applyNumberFormat="1" applyFont="1" applyFill="1" applyBorder="1" applyAlignment="1">
      <alignment horizontal="right"/>
    </xf>
    <xf numFmtId="164" fontId="24" fillId="43" borderId="33" xfId="0" applyNumberFormat="1" applyFont="1" applyFill="1" applyBorder="1" applyAlignment="1">
      <alignment horizontal="right" vertical="center"/>
    </xf>
    <xf numFmtId="164" fontId="45" fillId="38" borderId="0" xfId="0" applyNumberFormat="1" applyFont="1" applyFill="1" applyAlignment="1">
      <alignment horizontal="right"/>
    </xf>
    <xf numFmtId="164" fontId="45" fillId="42" borderId="0" xfId="0" applyNumberFormat="1" applyFont="1" applyFill="1" applyAlignment="1">
      <alignment horizontal="right"/>
    </xf>
    <xf numFmtId="164" fontId="45" fillId="46" borderId="0" xfId="0" applyNumberFormat="1" applyFont="1" applyFill="1" applyAlignment="1">
      <alignment horizontal="right"/>
    </xf>
    <xf numFmtId="164" fontId="24" fillId="51" borderId="33" xfId="0" applyNumberFormat="1" applyFont="1" applyFill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64" fontId="24" fillId="52" borderId="33" xfId="0" applyNumberFormat="1" applyFont="1" applyFill="1" applyBorder="1" applyAlignment="1">
      <alignment horizontal="right"/>
    </xf>
    <xf numFmtId="164" fontId="34" fillId="0" borderId="33" xfId="0" applyNumberFormat="1" applyFont="1" applyBorder="1" applyAlignment="1">
      <alignment horizontal="right"/>
    </xf>
    <xf numFmtId="164" fontId="34" fillId="42" borderId="0" xfId="0" applyNumberFormat="1" applyFont="1" applyFill="1" applyAlignment="1">
      <alignment horizontal="right"/>
    </xf>
    <xf numFmtId="164" fontId="51" fillId="0" borderId="0" xfId="0" applyNumberFormat="1" applyFont="1" applyAlignment="1">
      <alignment horizontal="right"/>
    </xf>
    <xf numFmtId="164" fontId="24" fillId="45" borderId="33" xfId="0" applyNumberFormat="1" applyFont="1" applyFill="1" applyBorder="1" applyAlignment="1">
      <alignment horizontal="right"/>
    </xf>
    <xf numFmtId="164" fontId="3" fillId="42" borderId="0" xfId="0" applyNumberFormat="1" applyFont="1" applyFill="1" applyAlignment="1">
      <alignment horizontal="right"/>
    </xf>
    <xf numFmtId="164" fontId="51" fillId="0" borderId="28" xfId="0" applyNumberFormat="1" applyFont="1" applyBorder="1" applyAlignment="1">
      <alignment horizontal="right"/>
    </xf>
    <xf numFmtId="164" fontId="39" fillId="40" borderId="33" xfId="0" applyNumberFormat="1" applyFont="1" applyFill="1" applyBorder="1" applyAlignment="1">
      <alignment horizontal="right"/>
    </xf>
    <xf numFmtId="164" fontId="39" fillId="35" borderId="33" xfId="0" applyNumberFormat="1" applyFont="1" applyFill="1" applyBorder="1" applyAlignment="1">
      <alignment horizontal="right"/>
    </xf>
    <xf numFmtId="164" fontId="3" fillId="0" borderId="33" xfId="0" applyNumberFormat="1" applyFont="1" applyBorder="1" applyAlignment="1">
      <alignment horizontal="right"/>
    </xf>
    <xf numFmtId="164" fontId="24" fillId="0" borderId="33" xfId="0" applyNumberFormat="1" applyFont="1" applyBorder="1" applyAlignment="1">
      <alignment horizontal="right"/>
    </xf>
    <xf numFmtId="164" fontId="45" fillId="40" borderId="33" xfId="0" applyNumberFormat="1" applyFont="1" applyFill="1" applyBorder="1" applyAlignment="1">
      <alignment horizontal="right"/>
    </xf>
    <xf numFmtId="164" fontId="45" fillId="0" borderId="33" xfId="0" applyNumberFormat="1" applyFont="1" applyBorder="1" applyAlignment="1">
      <alignment horizontal="right"/>
    </xf>
    <xf numFmtId="164" fontId="3" fillId="36" borderId="0" xfId="0" applyNumberFormat="1" applyFont="1" applyFill="1" applyAlignment="1">
      <alignment horizontal="right"/>
    </xf>
    <xf numFmtId="164" fontId="3" fillId="36" borderId="33" xfId="0" applyNumberFormat="1" applyFont="1" applyFill="1" applyBorder="1" applyAlignment="1">
      <alignment horizontal="right"/>
    </xf>
    <xf numFmtId="164" fontId="33" fillId="0" borderId="33" xfId="0" applyNumberFormat="1" applyFont="1" applyBorder="1" applyAlignment="1">
      <alignment horizontal="right"/>
    </xf>
    <xf numFmtId="164" fontId="39" fillId="0" borderId="33" xfId="0" applyNumberFormat="1" applyFont="1" applyBorder="1" applyAlignment="1">
      <alignment horizontal="right"/>
    </xf>
    <xf numFmtId="164" fontId="51" fillId="38" borderId="0" xfId="0" applyNumberFormat="1" applyFont="1" applyFill="1" applyAlignment="1">
      <alignment horizontal="right"/>
    </xf>
    <xf numFmtId="164" fontId="51" fillId="42" borderId="0" xfId="0" applyNumberFormat="1" applyFont="1" applyFill="1" applyAlignment="1">
      <alignment horizontal="right"/>
    </xf>
    <xf numFmtId="164" fontId="51" fillId="0" borderId="33" xfId="0" applyNumberFormat="1" applyFont="1" applyBorder="1" applyAlignment="1">
      <alignment horizontal="right"/>
    </xf>
    <xf numFmtId="164" fontId="51" fillId="45" borderId="33" xfId="0" applyNumberFormat="1" applyFont="1" applyFill="1" applyBorder="1" applyAlignment="1">
      <alignment horizontal="right"/>
    </xf>
    <xf numFmtId="164" fontId="66" fillId="40" borderId="33" xfId="0" applyNumberFormat="1" applyFont="1" applyFill="1" applyBorder="1" applyAlignment="1">
      <alignment horizontal="right"/>
    </xf>
    <xf numFmtId="164" fontId="55" fillId="0" borderId="33" xfId="0" applyNumberFormat="1" applyFont="1" applyBorder="1" applyAlignment="1">
      <alignment horizontal="right"/>
    </xf>
    <xf numFmtId="164" fontId="39" fillId="35" borderId="33" xfId="0" applyNumberFormat="1" applyFont="1" applyFill="1" applyBorder="1" applyAlignment="1">
      <alignment horizontal="right" vertical="center"/>
    </xf>
    <xf numFmtId="164" fontId="39" fillId="59" borderId="33" xfId="0" applyNumberFormat="1" applyFont="1" applyFill="1" applyBorder="1" applyAlignment="1">
      <alignment horizontal="right"/>
    </xf>
    <xf numFmtId="164" fontId="39" fillId="43" borderId="33" xfId="0" applyNumberFormat="1" applyFont="1" applyFill="1" applyBorder="1" applyAlignment="1">
      <alignment horizontal="right" vertical="center"/>
    </xf>
    <xf numFmtId="0" fontId="0" fillId="61" borderId="0" xfId="0" applyFill="1"/>
    <xf numFmtId="0" fontId="32" fillId="0" borderId="0" xfId="106" applyBorder="1"/>
    <xf numFmtId="164" fontId="24" fillId="43" borderId="33" xfId="0" applyNumberFormat="1" applyFont="1" applyFill="1" applyBorder="1" applyAlignment="1">
      <alignment horizontal="right"/>
    </xf>
    <xf numFmtId="1" fontId="24" fillId="43" borderId="33" xfId="0" applyNumberFormat="1" applyFont="1" applyFill="1" applyBorder="1" applyAlignment="1">
      <alignment horizontal="right"/>
    </xf>
    <xf numFmtId="164" fontId="39" fillId="53" borderId="33" xfId="0" applyNumberFormat="1" applyFont="1" applyFill="1" applyBorder="1" applyAlignment="1">
      <alignment horizontal="right"/>
    </xf>
    <xf numFmtId="164" fontId="39" fillId="55" borderId="33" xfId="0" applyNumberFormat="1" applyFont="1" applyFill="1" applyBorder="1" applyAlignment="1">
      <alignment horizontal="right"/>
    </xf>
    <xf numFmtId="180" fontId="44" fillId="50" borderId="23" xfId="0" applyNumberFormat="1" applyFont="1" applyFill="1" applyBorder="1"/>
    <xf numFmtId="0" fontId="39" fillId="0" borderId="33" xfId="0" applyFont="1" applyBorder="1" applyAlignment="1">
      <alignment horizontal="right"/>
    </xf>
    <xf numFmtId="0" fontId="45" fillId="0" borderId="0" xfId="0" applyFont="1" applyAlignment="1">
      <alignment horizontal="right"/>
    </xf>
    <xf numFmtId="0" fontId="51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57" fillId="36" borderId="0" xfId="0" applyFont="1" applyFill="1" applyAlignment="1">
      <alignment horizontal="left"/>
    </xf>
    <xf numFmtId="0" fontId="75" fillId="0" borderId="0" xfId="0" applyFont="1"/>
    <xf numFmtId="0" fontId="0" fillId="50" borderId="0" xfId="0" applyFill="1" applyAlignment="1">
      <alignment horizontal="right"/>
    </xf>
    <xf numFmtId="0" fontId="0" fillId="36" borderId="0" xfId="0" applyFill="1" applyAlignment="1">
      <alignment horizontal="right"/>
    </xf>
    <xf numFmtId="0" fontId="0" fillId="0" borderId="23" xfId="0" applyBorder="1" applyAlignment="1">
      <alignment horizontal="right"/>
    </xf>
    <xf numFmtId="181" fontId="0" fillId="50" borderId="23" xfId="0" applyNumberFormat="1" applyFill="1" applyBorder="1"/>
    <xf numFmtId="164" fontId="0" fillId="42" borderId="0" xfId="0" applyNumberFormat="1" applyFill="1" applyAlignment="1">
      <alignment horizontal="right"/>
    </xf>
    <xf numFmtId="164" fontId="0" fillId="35" borderId="33" xfId="0" applyNumberFormat="1" applyFill="1" applyBorder="1" applyAlignment="1">
      <alignment horizontal="right"/>
    </xf>
    <xf numFmtId="164" fontId="0" fillId="45" borderId="33" xfId="0" applyNumberFormat="1" applyFill="1" applyBorder="1" applyAlignment="1">
      <alignment horizontal="right"/>
    </xf>
    <xf numFmtId="9" fontId="0" fillId="0" borderId="33" xfId="0" applyNumberFormat="1" applyBorder="1"/>
    <xf numFmtId="9" fontId="0" fillId="45" borderId="23" xfId="0" applyNumberFormat="1" applyFill="1" applyBorder="1"/>
    <xf numFmtId="0" fontId="32" fillId="0" borderId="0" xfId="105" applyBorder="1"/>
    <xf numFmtId="0" fontId="32" fillId="0" borderId="0" xfId="105" applyFill="1"/>
    <xf numFmtId="0" fontId="0" fillId="34" borderId="23" xfId="0" applyFill="1" applyBorder="1" applyAlignment="1" applyProtection="1">
      <alignment horizontal="right"/>
      <protection locked="0"/>
    </xf>
    <xf numFmtId="0" fontId="0" fillId="50" borderId="23" xfId="0" applyFill="1" applyBorder="1"/>
    <xf numFmtId="164" fontId="0" fillId="34" borderId="33" xfId="0" applyNumberFormat="1" applyFill="1" applyBorder="1" applyAlignment="1" applyProtection="1">
      <alignment horizontal="right"/>
      <protection locked="0"/>
    </xf>
    <xf numFmtId="9" fontId="0" fillId="34" borderId="33" xfId="0" applyNumberFormat="1" applyFill="1" applyBorder="1" applyProtection="1">
      <protection locked="0"/>
    </xf>
    <xf numFmtId="9" fontId="0" fillId="34" borderId="23" xfId="0" applyNumberFormat="1" applyFill="1" applyBorder="1" applyProtection="1">
      <protection locked="0"/>
    </xf>
    <xf numFmtId="164" fontId="0" fillId="38" borderId="33" xfId="0" applyNumberFormat="1" applyFill="1" applyBorder="1" applyAlignment="1">
      <alignment horizontal="right"/>
    </xf>
    <xf numFmtId="9" fontId="0" fillId="0" borderId="23" xfId="0" applyNumberFormat="1" applyBorder="1"/>
    <xf numFmtId="0" fontId="0" fillId="38" borderId="0" xfId="0" applyFill="1"/>
    <xf numFmtId="164" fontId="0" fillId="0" borderId="0" xfId="0" applyNumberFormat="1" applyAlignment="1">
      <alignment horizontal="right"/>
    </xf>
    <xf numFmtId="164" fontId="0" fillId="0" borderId="33" xfId="0" applyNumberFormat="1" applyBorder="1" applyAlignment="1">
      <alignment horizontal="right"/>
    </xf>
    <xf numFmtId="164" fontId="0" fillId="45" borderId="33" xfId="0" applyNumberFormat="1" applyFill="1" applyBorder="1" applyAlignment="1">
      <alignment horizontal="right" vertical="center"/>
    </xf>
    <xf numFmtId="9" fontId="0" fillId="40" borderId="33" xfId="0" applyNumberFormat="1" applyFill="1" applyBorder="1"/>
    <xf numFmtId="0" fontId="0" fillId="40" borderId="33" xfId="0" applyFill="1" applyBorder="1"/>
    <xf numFmtId="0" fontId="0" fillId="40" borderId="23" xfId="0" applyFill="1" applyBorder="1"/>
    <xf numFmtId="164" fontId="0" fillId="0" borderId="33" xfId="0" applyNumberFormat="1" applyBorder="1" applyAlignment="1">
      <alignment horizontal="right" vertical="center"/>
    </xf>
    <xf numFmtId="9" fontId="0" fillId="45" borderId="23" xfId="0" applyNumberFormat="1" applyFill="1" applyBorder="1" applyAlignment="1">
      <alignment vertical="center"/>
    </xf>
    <xf numFmtId="0" fontId="0" fillId="40" borderId="33" xfId="0" applyFill="1" applyBorder="1" applyAlignment="1">
      <alignment vertical="center"/>
    </xf>
    <xf numFmtId="0" fontId="0" fillId="40" borderId="23" xfId="0" applyFill="1" applyBorder="1" applyAlignment="1">
      <alignment vertical="center"/>
    </xf>
    <xf numFmtId="0" fontId="0" fillId="47" borderId="23" xfId="0" applyFill="1" applyBorder="1" applyAlignment="1">
      <alignment vertical="center"/>
    </xf>
    <xf numFmtId="9" fontId="0" fillId="35" borderId="33" xfId="0" applyNumberFormat="1" applyFill="1" applyBorder="1" applyAlignment="1">
      <alignment vertical="center"/>
    </xf>
    <xf numFmtId="9" fontId="0" fillId="35" borderId="23" xfId="0" applyNumberFormat="1" applyFill="1" applyBorder="1" applyAlignment="1">
      <alignment vertical="center"/>
    </xf>
    <xf numFmtId="0" fontId="0" fillId="35" borderId="33" xfId="0" applyFill="1" applyBorder="1" applyAlignment="1">
      <alignment vertical="center"/>
    </xf>
    <xf numFmtId="0" fontId="0" fillId="35" borderId="23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47" borderId="23" xfId="0" applyFill="1" applyBorder="1"/>
    <xf numFmtId="0" fontId="32" fillId="0" borderId="39" xfId="106" applyBorder="1"/>
    <xf numFmtId="164" fontId="0" fillId="40" borderId="33" xfId="0" applyNumberFormat="1" applyFill="1" applyBorder="1" applyAlignment="1">
      <alignment horizontal="right"/>
    </xf>
    <xf numFmtId="164" fontId="0" fillId="59" borderId="33" xfId="0" applyNumberFormat="1" applyFill="1" applyBorder="1" applyAlignment="1">
      <alignment horizontal="right"/>
    </xf>
    <xf numFmtId="9" fontId="0" fillId="35" borderId="33" xfId="0" applyNumberFormat="1" applyFill="1" applyBorder="1"/>
    <xf numFmtId="9" fontId="0" fillId="35" borderId="23" xfId="0" applyNumberFormat="1" applyFill="1" applyBorder="1"/>
    <xf numFmtId="0" fontId="0" fillId="35" borderId="33" xfId="0" applyFill="1" applyBorder="1"/>
    <xf numFmtId="0" fontId="0" fillId="35" borderId="23" xfId="0" applyFill="1" applyBorder="1"/>
    <xf numFmtId="0" fontId="32" fillId="0" borderId="0" xfId="105" applyFill="1" applyBorder="1"/>
    <xf numFmtId="0" fontId="0" fillId="45" borderId="23" xfId="0" applyFill="1" applyBorder="1"/>
    <xf numFmtId="1" fontId="0" fillId="40" borderId="33" xfId="0" applyNumberFormat="1" applyFill="1" applyBorder="1"/>
    <xf numFmtId="1" fontId="0" fillId="40" borderId="23" xfId="0" applyNumberFormat="1" applyFill="1" applyBorder="1"/>
    <xf numFmtId="2" fontId="0" fillId="40" borderId="23" xfId="0" applyNumberFormat="1" applyFill="1" applyBorder="1"/>
    <xf numFmtId="2" fontId="0" fillId="40" borderId="33" xfId="0" applyNumberFormat="1" applyFill="1" applyBorder="1"/>
    <xf numFmtId="164" fontId="0" fillId="36" borderId="33" xfId="0" applyNumberFormat="1" applyFill="1" applyBorder="1" applyAlignment="1">
      <alignment horizontal="right"/>
    </xf>
    <xf numFmtId="164" fontId="0" fillId="36" borderId="0" xfId="0" applyNumberFormat="1" applyFill="1" applyAlignment="1">
      <alignment horizontal="right"/>
    </xf>
    <xf numFmtId="0" fontId="0" fillId="52" borderId="23" xfId="0" applyFill="1" applyBorder="1"/>
    <xf numFmtId="164" fontId="0" fillId="52" borderId="33" xfId="0" applyNumberFormat="1" applyFill="1" applyBorder="1" applyAlignment="1">
      <alignment horizontal="right"/>
    </xf>
    <xf numFmtId="164" fontId="0" fillId="52" borderId="28" xfId="0" applyNumberFormat="1" applyFill="1" applyBorder="1" applyAlignment="1">
      <alignment horizontal="right"/>
    </xf>
    <xf numFmtId="10" fontId="0" fillId="0" borderId="33" xfId="0" applyNumberFormat="1" applyBorder="1"/>
    <xf numFmtId="9" fontId="0" fillId="40" borderId="33" xfId="0" applyNumberFormat="1" applyFill="1" applyBorder="1" applyProtection="1">
      <protection locked="0"/>
    </xf>
    <xf numFmtId="164" fontId="0" fillId="58" borderId="33" xfId="0" applyNumberFormat="1" applyFill="1" applyBorder="1" applyAlignment="1">
      <alignment horizontal="right"/>
    </xf>
    <xf numFmtId="0" fontId="0" fillId="0" borderId="33" xfId="0" applyBorder="1" applyAlignment="1">
      <alignment horizontal="right"/>
    </xf>
    <xf numFmtId="0" fontId="0" fillId="40" borderId="28" xfId="0" applyFill="1" applyBorder="1"/>
    <xf numFmtId="164" fontId="0" fillId="40" borderId="28" xfId="0" applyNumberForma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45" borderId="23" xfId="0" applyNumberFormat="1" applyFill="1" applyBorder="1" applyAlignment="1">
      <alignment horizontal="right"/>
    </xf>
    <xf numFmtId="9" fontId="0" fillId="52" borderId="33" xfId="0" applyNumberFormat="1" applyFill="1" applyBorder="1"/>
    <xf numFmtId="0" fontId="0" fillId="53" borderId="23" xfId="0" applyFill="1" applyBorder="1"/>
    <xf numFmtId="1" fontId="0" fillId="50" borderId="23" xfId="0" applyNumberFormat="1" applyFill="1" applyBorder="1"/>
    <xf numFmtId="0" fontId="0" fillId="0" borderId="37" xfId="0" applyBorder="1"/>
    <xf numFmtId="0" fontId="0" fillId="36" borderId="23" xfId="0" applyFill="1" applyBorder="1" applyAlignment="1">
      <alignment horizontal="right"/>
    </xf>
    <xf numFmtId="0" fontId="57" fillId="36" borderId="0" xfId="0" applyFont="1" applyFill="1" applyAlignment="1">
      <alignment horizontal="right"/>
    </xf>
    <xf numFmtId="0" fontId="4" fillId="36" borderId="23" xfId="0" applyFont="1" applyFill="1" applyBorder="1" applyAlignment="1">
      <alignment horizontal="right"/>
    </xf>
    <xf numFmtId="0" fontId="4" fillId="36" borderId="0" xfId="0" applyFont="1" applyFill="1" applyAlignment="1">
      <alignment horizontal="right"/>
    </xf>
    <xf numFmtId="0" fontId="4" fillId="36" borderId="0" xfId="0" applyFont="1" applyFill="1" applyAlignment="1">
      <alignment horizontal="left"/>
    </xf>
    <xf numFmtId="0" fontId="57" fillId="36" borderId="23" xfId="0" applyFont="1" applyFill="1" applyBorder="1" applyAlignment="1">
      <alignment horizontal="left"/>
    </xf>
    <xf numFmtId="164" fontId="57" fillId="36" borderId="0" xfId="0" applyNumberFormat="1" applyFont="1" applyFill="1" applyAlignment="1">
      <alignment horizontal="right"/>
    </xf>
    <xf numFmtId="164" fontId="57" fillId="42" borderId="0" xfId="0" applyNumberFormat="1" applyFont="1" applyFill="1" applyAlignment="1">
      <alignment horizontal="right"/>
    </xf>
    <xf numFmtId="164" fontId="57" fillId="36" borderId="33" xfId="0" applyNumberFormat="1" applyFont="1" applyFill="1" applyBorder="1" applyAlignment="1">
      <alignment horizontal="right"/>
    </xf>
    <xf numFmtId="0" fontId="57" fillId="36" borderId="33" xfId="0" applyFont="1" applyFill="1" applyBorder="1" applyAlignment="1">
      <alignment horizontal="left"/>
    </xf>
    <xf numFmtId="0" fontId="77" fillId="0" borderId="0" xfId="0" applyFont="1"/>
    <xf numFmtId="0" fontId="70" fillId="0" borderId="0" xfId="0" applyFont="1" applyAlignment="1">
      <alignment horizontal="right"/>
    </xf>
    <xf numFmtId="0" fontId="70" fillId="50" borderId="0" xfId="0" applyFont="1" applyFill="1" applyAlignment="1">
      <alignment horizontal="right"/>
    </xf>
    <xf numFmtId="0" fontId="3" fillId="0" borderId="14" xfId="0" applyFont="1" applyBorder="1" applyAlignment="1">
      <alignment wrapText="1"/>
    </xf>
    <xf numFmtId="0" fontId="0" fillId="0" borderId="4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50" borderId="15" xfId="0" applyFill="1" applyBorder="1" applyAlignment="1">
      <alignment horizontal="right"/>
    </xf>
    <xf numFmtId="164" fontId="0" fillId="42" borderId="15" xfId="0" applyNumberFormat="1" applyFill="1" applyBorder="1" applyAlignment="1">
      <alignment horizontal="right"/>
    </xf>
    <xf numFmtId="164" fontId="0" fillId="49" borderId="15" xfId="0" applyNumberFormat="1" applyFill="1" applyBorder="1" applyAlignment="1">
      <alignment horizontal="right"/>
    </xf>
    <xf numFmtId="164" fontId="24" fillId="35" borderId="15" xfId="0" applyNumberFormat="1" applyFont="1" applyFill="1" applyBorder="1" applyAlignment="1">
      <alignment horizontal="right"/>
    </xf>
    <xf numFmtId="164" fontId="0" fillId="52" borderId="15" xfId="0" applyNumberFormat="1" applyFill="1" applyBorder="1" applyAlignment="1">
      <alignment horizontal="right"/>
    </xf>
    <xf numFmtId="164" fontId="0" fillId="45" borderId="41" xfId="0" applyNumberFormat="1" applyFill="1" applyBorder="1" applyAlignment="1">
      <alignment horizontal="right"/>
    </xf>
    <xf numFmtId="9" fontId="0" fillId="0" borderId="41" xfId="0" applyNumberFormat="1" applyBorder="1"/>
    <xf numFmtId="9" fontId="0" fillId="45" borderId="40" xfId="0" applyNumberFormat="1" applyFill="1" applyBorder="1"/>
    <xf numFmtId="0" fontId="32" fillId="0" borderId="15" xfId="105" applyBorder="1"/>
    <xf numFmtId="0" fontId="3" fillId="0" borderId="11" xfId="0" applyFont="1" applyBorder="1" applyAlignment="1">
      <alignment horizontal="left"/>
    </xf>
    <xf numFmtId="0" fontId="44" fillId="0" borderId="0" xfId="86" applyFont="1"/>
    <xf numFmtId="181" fontId="39" fillId="0" borderId="0" xfId="0" applyNumberFormat="1" applyFont="1"/>
    <xf numFmtId="164" fontId="0" fillId="49" borderId="0" xfId="0" applyNumberFormat="1" applyFill="1" applyAlignment="1">
      <alignment horizontal="right"/>
    </xf>
    <xf numFmtId="164" fontId="0" fillId="35" borderId="0" xfId="0" applyNumberFormat="1" applyFill="1" applyAlignment="1">
      <alignment horizontal="right"/>
    </xf>
    <xf numFmtId="195" fontId="39" fillId="47" borderId="0" xfId="0" applyNumberFormat="1" applyFont="1" applyFill="1" applyAlignment="1">
      <alignment horizontal="right"/>
    </xf>
    <xf numFmtId="164" fontId="0" fillId="52" borderId="0" xfId="0" applyNumberFormat="1" applyFill="1" applyAlignment="1">
      <alignment horizontal="right"/>
    </xf>
    <xf numFmtId="0" fontId="3" fillId="0" borderId="11" xfId="0" applyFont="1" applyBorder="1"/>
    <xf numFmtId="0" fontId="0" fillId="0" borderId="11" xfId="0" applyBorder="1" applyAlignment="1">
      <alignment horizontal="right"/>
    </xf>
    <xf numFmtId="164" fontId="24" fillId="35" borderId="0" xfId="0" applyNumberFormat="1" applyFont="1" applyFill="1" applyAlignment="1">
      <alignment horizontal="right"/>
    </xf>
    <xf numFmtId="164" fontId="39" fillId="52" borderId="0" xfId="86" applyNumberFormat="1" applyFont="1" applyFill="1" applyAlignment="1">
      <alignment horizontal="right"/>
    </xf>
    <xf numFmtId="0" fontId="39" fillId="0" borderId="0" xfId="0" applyFont="1" applyAlignment="1">
      <alignment horizontal="right"/>
    </xf>
    <xf numFmtId="0" fontId="39" fillId="50" borderId="0" xfId="0" applyFont="1" applyFill="1" applyAlignment="1">
      <alignment horizontal="right"/>
    </xf>
    <xf numFmtId="164" fontId="39" fillId="40" borderId="0" xfId="0" applyNumberFormat="1" applyFont="1" applyFill="1" applyAlignment="1">
      <alignment horizontal="right"/>
    </xf>
    <xf numFmtId="164" fontId="39" fillId="42" borderId="0" xfId="0" applyNumberFormat="1" applyFont="1" applyFill="1" applyAlignment="1">
      <alignment horizontal="right"/>
    </xf>
    <xf numFmtId="164" fontId="39" fillId="49" borderId="0" xfId="0" applyNumberFormat="1" applyFont="1" applyFill="1" applyAlignment="1">
      <alignment horizontal="right"/>
    </xf>
    <xf numFmtId="164" fontId="39" fillId="35" borderId="0" xfId="0" applyNumberFormat="1" applyFont="1" applyFill="1" applyAlignment="1">
      <alignment horizontal="right"/>
    </xf>
    <xf numFmtId="164" fontId="67" fillId="42" borderId="0" xfId="0" applyNumberFormat="1" applyFont="1" applyFill="1" applyAlignment="1">
      <alignment horizontal="right"/>
    </xf>
    <xf numFmtId="0" fontId="59" fillId="0" borderId="0" xfId="105" applyFont="1" applyBorder="1"/>
    <xf numFmtId="0" fontId="37" fillId="41" borderId="0" xfId="0" applyFont="1" applyFill="1"/>
    <xf numFmtId="0" fontId="0" fillId="34" borderId="0" xfId="0" applyFill="1" applyAlignment="1" applyProtection="1">
      <alignment horizontal="right"/>
      <protection locked="0"/>
    </xf>
    <xf numFmtId="164" fontId="24" fillId="34" borderId="0" xfId="0" applyNumberFormat="1" applyFont="1" applyFill="1" applyAlignment="1" applyProtection="1">
      <alignment horizontal="right"/>
      <protection locked="0"/>
    </xf>
    <xf numFmtId="164" fontId="0" fillId="34" borderId="0" xfId="0" applyNumberFormat="1" applyFill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32" fillId="34" borderId="0" xfId="105" applyFill="1" applyBorder="1" applyProtection="1">
      <protection locked="0"/>
    </xf>
    <xf numFmtId="0" fontId="0" fillId="0" borderId="20" xfId="0" applyBorder="1" applyAlignment="1">
      <alignment horizontal="right"/>
    </xf>
    <xf numFmtId="0" fontId="37" fillId="41" borderId="21" xfId="0" applyFont="1" applyFill="1" applyBorder="1"/>
    <xf numFmtId="0" fontId="0" fillId="34" borderId="42" xfId="0" applyFill="1" applyBorder="1" applyAlignment="1" applyProtection="1">
      <alignment horizontal="right"/>
      <protection locked="0"/>
    </xf>
    <xf numFmtId="0" fontId="0" fillId="34" borderId="21" xfId="0" applyFill="1" applyBorder="1" applyAlignment="1" applyProtection="1">
      <alignment horizontal="right"/>
      <protection locked="0"/>
    </xf>
    <xf numFmtId="0" fontId="0" fillId="50" borderId="21" xfId="0" applyFill="1" applyBorder="1" applyAlignment="1">
      <alignment horizontal="right"/>
    </xf>
    <xf numFmtId="0" fontId="39" fillId="0" borderId="21" xfId="0" applyFont="1" applyBorder="1"/>
    <xf numFmtId="0" fontId="0" fillId="50" borderId="42" xfId="0" applyFill="1" applyBorder="1"/>
    <xf numFmtId="164" fontId="24" fillId="34" borderId="21" xfId="0" applyNumberFormat="1" applyFont="1" applyFill="1" applyBorder="1" applyAlignment="1" applyProtection="1">
      <alignment horizontal="right"/>
      <protection locked="0"/>
    </xf>
    <xf numFmtId="164" fontId="24" fillId="34" borderId="43" xfId="0" applyNumberFormat="1" applyFont="1" applyFill="1" applyBorder="1" applyAlignment="1" applyProtection="1">
      <alignment horizontal="right"/>
      <protection locked="0"/>
    </xf>
    <xf numFmtId="164" fontId="0" fillId="34" borderId="21" xfId="0" applyNumberFormat="1" applyFill="1" applyBorder="1" applyAlignment="1" applyProtection="1">
      <alignment horizontal="right"/>
      <protection locked="0"/>
    </xf>
    <xf numFmtId="164" fontId="0" fillId="34" borderId="43" xfId="0" applyNumberFormat="1" applyFill="1" applyBorder="1" applyAlignment="1" applyProtection="1">
      <alignment horizontal="right"/>
      <protection locked="0"/>
    </xf>
    <xf numFmtId="9" fontId="0" fillId="34" borderId="43" xfId="0" applyNumberFormat="1" applyFill="1" applyBorder="1" applyProtection="1">
      <protection locked="0"/>
    </xf>
    <xf numFmtId="9" fontId="0" fillId="34" borderId="42" xfId="0" applyNumberFormat="1" applyFill="1" applyBorder="1" applyProtection="1">
      <protection locked="0"/>
    </xf>
    <xf numFmtId="0" fontId="24" fillId="34" borderId="43" xfId="0" applyFont="1" applyFill="1" applyBorder="1" applyProtection="1">
      <protection locked="0"/>
    </xf>
    <xf numFmtId="0" fontId="24" fillId="34" borderId="42" xfId="0" applyFont="1" applyFill="1" applyBorder="1" applyProtection="1">
      <protection locked="0"/>
    </xf>
    <xf numFmtId="0" fontId="0" fillId="34" borderId="21" xfId="0" applyFill="1" applyBorder="1" applyProtection="1">
      <protection locked="0"/>
    </xf>
    <xf numFmtId="0" fontId="32" fillId="34" borderId="21" xfId="105" applyFill="1" applyBorder="1" applyProtection="1">
      <protection locked="0"/>
    </xf>
    <xf numFmtId="0" fontId="42" fillId="0" borderId="15" xfId="0" applyFont="1" applyBorder="1" applyAlignment="1">
      <alignment vertical="center"/>
    </xf>
    <xf numFmtId="0" fontId="24" fillId="0" borderId="40" xfId="0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24" fillId="50" borderId="15" xfId="0" applyFont="1" applyFill="1" applyBorder="1" applyAlignment="1">
      <alignment horizontal="right"/>
    </xf>
    <xf numFmtId="0" fontId="24" fillId="50" borderId="40" xfId="0" applyFont="1" applyFill="1" applyBorder="1"/>
    <xf numFmtId="164" fontId="24" fillId="40" borderId="15" xfId="0" applyNumberFormat="1" applyFont="1" applyFill="1" applyBorder="1" applyAlignment="1">
      <alignment horizontal="right"/>
    </xf>
    <xf numFmtId="164" fontId="24" fillId="42" borderId="15" xfId="0" applyNumberFormat="1" applyFont="1" applyFill="1" applyBorder="1" applyAlignment="1">
      <alignment horizontal="right"/>
    </xf>
    <xf numFmtId="164" fontId="0" fillId="40" borderId="15" xfId="0" applyNumberFormat="1" applyFill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15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/>
    </xf>
    <xf numFmtId="164" fontId="39" fillId="40" borderId="41" xfId="0" applyNumberFormat="1" applyFont="1" applyFill="1" applyBorder="1" applyAlignment="1">
      <alignment horizontal="right"/>
    </xf>
    <xf numFmtId="164" fontId="0" fillId="45" borderId="41" xfId="0" applyNumberFormat="1" applyFill="1" applyBorder="1" applyAlignment="1">
      <alignment horizontal="right" vertical="center"/>
    </xf>
    <xf numFmtId="9" fontId="0" fillId="40" borderId="41" xfId="0" applyNumberFormat="1" applyFill="1" applyBorder="1"/>
    <xf numFmtId="0" fontId="0" fillId="40" borderId="41" xfId="0" applyFill="1" applyBorder="1"/>
    <xf numFmtId="0" fontId="0" fillId="40" borderId="40" xfId="0" applyFill="1" applyBorder="1"/>
    <xf numFmtId="0" fontId="32" fillId="0" borderId="15" xfId="106" applyFill="1" applyBorder="1"/>
    <xf numFmtId="0" fontId="0" fillId="61" borderId="15" xfId="0" applyFill="1" applyBorder="1"/>
    <xf numFmtId="0" fontId="3" fillId="0" borderId="11" xfId="0" applyFont="1" applyBorder="1" applyAlignment="1">
      <alignment vertical="center" wrapText="1"/>
    </xf>
    <xf numFmtId="0" fontId="42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50" borderId="0" xfId="0" applyFont="1" applyFill="1" applyAlignment="1">
      <alignment horizontal="right" vertical="center"/>
    </xf>
    <xf numFmtId="164" fontId="24" fillId="40" borderId="0" xfId="0" applyNumberFormat="1" applyFont="1" applyFill="1" applyAlignment="1">
      <alignment horizontal="right" vertical="center"/>
    </xf>
    <xf numFmtId="164" fontId="24" fillId="42" borderId="0" xfId="0" applyNumberFormat="1" applyFont="1" applyFill="1" applyAlignment="1">
      <alignment horizontal="right" vertical="center"/>
    </xf>
    <xf numFmtId="164" fontId="24" fillId="43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42" borderId="0" xfId="0" applyNumberFormat="1" applyFill="1" applyAlignment="1">
      <alignment horizontal="right" vertical="center"/>
    </xf>
    <xf numFmtId="0" fontId="32" fillId="0" borderId="0" xfId="106" applyFill="1" applyBorder="1" applyAlignment="1">
      <alignment vertical="center"/>
    </xf>
    <xf numFmtId="0" fontId="0" fillId="61" borderId="0" xfId="0" applyFill="1" applyAlignment="1">
      <alignment vertical="center"/>
    </xf>
    <xf numFmtId="164" fontId="24" fillId="35" borderId="0" xfId="0" applyNumberFormat="1" applyFont="1" applyFill="1" applyAlignment="1">
      <alignment horizontal="right" vertical="center"/>
    </xf>
    <xf numFmtId="164" fontId="0" fillId="35" borderId="0" xfId="0" applyNumberFormat="1" applyFill="1" applyAlignment="1">
      <alignment horizontal="right" vertical="center"/>
    </xf>
    <xf numFmtId="0" fontId="32" fillId="0" borderId="0" xfId="105" applyFill="1" applyBorder="1" applyAlignment="1">
      <alignment vertical="center"/>
    </xf>
    <xf numFmtId="0" fontId="3" fillId="0" borderId="11" xfId="0" applyFont="1" applyBorder="1" applyAlignment="1">
      <alignment wrapText="1"/>
    </xf>
    <xf numFmtId="0" fontId="42" fillId="0" borderId="0" xfId="0" applyFont="1"/>
    <xf numFmtId="0" fontId="24" fillId="0" borderId="0" xfId="0" applyFont="1" applyAlignment="1">
      <alignment horizontal="right"/>
    </xf>
    <xf numFmtId="0" fontId="24" fillId="50" borderId="0" xfId="0" applyFont="1" applyFill="1" applyAlignment="1">
      <alignment horizontal="right"/>
    </xf>
    <xf numFmtId="164" fontId="24" fillId="40" borderId="0" xfId="0" applyNumberFormat="1" applyFont="1" applyFill="1" applyAlignment="1">
      <alignment horizontal="right"/>
    </xf>
    <xf numFmtId="164" fontId="24" fillId="43" borderId="0" xfId="0" applyNumberFormat="1" applyFont="1" applyFill="1" applyAlignment="1">
      <alignment horizontal="right"/>
    </xf>
    <xf numFmtId="164" fontId="24" fillId="0" borderId="0" xfId="0" applyNumberFormat="1" applyFont="1" applyAlignment="1">
      <alignment horizontal="right"/>
    </xf>
    <xf numFmtId="164" fontId="0" fillId="50" borderId="0" xfId="0" applyNumberFormat="1" applyFill="1" applyAlignment="1">
      <alignment horizontal="right"/>
    </xf>
    <xf numFmtId="0" fontId="24" fillId="0" borderId="20" xfId="0" applyFont="1" applyBorder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70" fillId="0" borderId="15" xfId="0" applyFont="1" applyBorder="1" applyAlignment="1">
      <alignment horizontal="right"/>
    </xf>
    <xf numFmtId="0" fontId="70" fillId="50" borderId="15" xfId="0" applyFont="1" applyFill="1" applyBorder="1" applyAlignment="1">
      <alignment horizontal="right"/>
    </xf>
    <xf numFmtId="0" fontId="0" fillId="50" borderId="40" xfId="0" applyFill="1" applyBorder="1"/>
    <xf numFmtId="164" fontId="0" fillId="47" borderId="15" xfId="0" applyNumberFormat="1" applyFill="1" applyBorder="1" applyAlignment="1">
      <alignment horizontal="right" vertical="center"/>
    </xf>
    <xf numFmtId="164" fontId="0" fillId="40" borderId="41" xfId="0" applyNumberFormat="1" applyFill="1" applyBorder="1" applyAlignment="1">
      <alignment horizontal="right"/>
    </xf>
    <xf numFmtId="0" fontId="0" fillId="47" borderId="40" xfId="0" applyFill="1" applyBorder="1"/>
    <xf numFmtId="0" fontId="32" fillId="0" borderId="15" xfId="105" applyFill="1" applyBorder="1"/>
    <xf numFmtId="164" fontId="0" fillId="40" borderId="0" xfId="0" applyNumberFormat="1" applyFill="1" applyAlignment="1">
      <alignment horizontal="right"/>
    </xf>
    <xf numFmtId="164" fontId="0" fillId="47" borderId="0" xfId="0" applyNumberFormat="1" applyFill="1" applyAlignment="1">
      <alignment horizontal="right" vertical="center"/>
    </xf>
    <xf numFmtId="0" fontId="32" fillId="0" borderId="0" xfId="106" applyFill="1" applyBorder="1"/>
    <xf numFmtId="0" fontId="10" fillId="0" borderId="11" xfId="0" applyFont="1" applyBorder="1"/>
    <xf numFmtId="0" fontId="37" fillId="0" borderId="0" xfId="0" applyFont="1"/>
    <xf numFmtId="0" fontId="0" fillId="0" borderId="0" xfId="0" applyAlignment="1" applyProtection="1">
      <alignment horizontal="right"/>
      <protection locked="0"/>
    </xf>
    <xf numFmtId="164" fontId="24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32" fillId="0" borderId="0" xfId="105" applyFill="1" applyBorder="1" applyProtection="1">
      <protection locked="0"/>
    </xf>
    <xf numFmtId="164" fontId="39" fillId="40" borderId="15" xfId="0" applyNumberFormat="1" applyFont="1" applyFill="1" applyBorder="1" applyAlignment="1">
      <alignment horizontal="right"/>
    </xf>
    <xf numFmtId="164" fontId="0" fillId="59" borderId="41" xfId="0" applyNumberFormat="1" applyFill="1" applyBorder="1" applyAlignment="1">
      <alignment horizontal="right"/>
    </xf>
    <xf numFmtId="0" fontId="32" fillId="0" borderId="44" xfId="106" applyBorder="1"/>
    <xf numFmtId="164" fontId="39" fillId="35" borderId="0" xfId="0" applyNumberFormat="1" applyFont="1" applyFill="1" applyAlignment="1">
      <alignment horizontal="right" vertical="center"/>
    </xf>
    <xf numFmtId="0" fontId="0" fillId="0" borderId="41" xfId="0" applyBorder="1"/>
    <xf numFmtId="0" fontId="0" fillId="0" borderId="40" xfId="0" applyBorder="1"/>
    <xf numFmtId="164" fontId="39" fillId="47" borderId="0" xfId="0" applyNumberFormat="1" applyFont="1" applyFill="1" applyAlignment="1">
      <alignment horizontal="right"/>
    </xf>
    <xf numFmtId="0" fontId="39" fillId="0" borderId="0" xfId="105" applyFont="1" applyBorder="1"/>
    <xf numFmtId="0" fontId="30" fillId="0" borderId="11" xfId="0" applyFont="1" applyBorder="1"/>
    <xf numFmtId="182" fontId="39" fillId="0" borderId="0" xfId="0" applyNumberFormat="1" applyFont="1"/>
    <xf numFmtId="0" fontId="42" fillId="0" borderId="11" xfId="0" applyFont="1" applyBorder="1"/>
    <xf numFmtId="0" fontId="24" fillId="0" borderId="11" xfId="0" applyFont="1" applyBorder="1"/>
    <xf numFmtId="164" fontId="24" fillId="52" borderId="0" xfId="0" applyNumberFormat="1" applyFont="1" applyFill="1" applyAlignment="1">
      <alignment horizontal="right"/>
    </xf>
    <xf numFmtId="184" fontId="0" fillId="0" borderId="0" xfId="0" applyNumberFormat="1" applyAlignment="1">
      <alignment horizontal="right"/>
    </xf>
    <xf numFmtId="183" fontId="39" fillId="0" borderId="0" xfId="0" applyNumberFormat="1" applyFont="1"/>
    <xf numFmtId="164" fontId="30" fillId="40" borderId="0" xfId="0" applyNumberFormat="1" applyFont="1" applyFill="1" applyAlignment="1">
      <alignment horizontal="right"/>
    </xf>
    <xf numFmtId="0" fontId="46" fillId="0" borderId="11" xfId="0" applyFont="1" applyBorder="1"/>
    <xf numFmtId="1" fontId="45" fillId="0" borderId="0" xfId="0" applyNumberFormat="1" applyFont="1"/>
    <xf numFmtId="0" fontId="4" fillId="0" borderId="11" xfId="0" applyFont="1" applyBorder="1"/>
    <xf numFmtId="164" fontId="39" fillId="54" borderId="0" xfId="0" applyNumberFormat="1" applyFont="1" applyFill="1" applyAlignment="1">
      <alignment horizontal="right"/>
    </xf>
    <xf numFmtId="164" fontId="24" fillId="49" borderId="0" xfId="0" applyNumberFormat="1" applyFont="1" applyFill="1" applyAlignment="1">
      <alignment horizontal="right"/>
    </xf>
    <xf numFmtId="0" fontId="47" fillId="0" borderId="0" xfId="105" applyFont="1" applyBorder="1"/>
    <xf numFmtId="0" fontId="0" fillId="0" borderId="27" xfId="0" applyBorder="1" applyAlignment="1">
      <alignment horizontal="right"/>
    </xf>
    <xf numFmtId="0" fontId="37" fillId="41" borderId="25" xfId="0" applyFont="1" applyFill="1" applyBorder="1"/>
    <xf numFmtId="0" fontId="0" fillId="34" borderId="26" xfId="0" applyFill="1" applyBorder="1" applyAlignment="1" applyProtection="1">
      <alignment horizontal="right"/>
      <protection locked="0"/>
    </xf>
    <xf numFmtId="0" fontId="0" fillId="34" borderId="25" xfId="0" applyFill="1" applyBorder="1" applyAlignment="1" applyProtection="1">
      <alignment horizontal="right"/>
      <protection locked="0"/>
    </xf>
    <xf numFmtId="0" fontId="0" fillId="50" borderId="25" xfId="0" applyFill="1" applyBorder="1" applyAlignment="1">
      <alignment horizontal="right"/>
    </xf>
    <xf numFmtId="0" fontId="39" fillId="0" borderId="25" xfId="0" applyFont="1" applyBorder="1"/>
    <xf numFmtId="0" fontId="0" fillId="50" borderId="26" xfId="0" applyFill="1" applyBorder="1"/>
    <xf numFmtId="164" fontId="24" fillId="34" borderId="25" xfId="0" applyNumberFormat="1" applyFont="1" applyFill="1" applyBorder="1" applyAlignment="1" applyProtection="1">
      <alignment horizontal="right"/>
      <protection locked="0"/>
    </xf>
    <xf numFmtId="164" fontId="24" fillId="34" borderId="34" xfId="0" applyNumberFormat="1" applyFont="1" applyFill="1" applyBorder="1" applyAlignment="1" applyProtection="1">
      <alignment horizontal="right"/>
      <protection locked="0"/>
    </xf>
    <xf numFmtId="164" fontId="0" fillId="34" borderId="25" xfId="0" applyNumberFormat="1" applyFill="1" applyBorder="1" applyAlignment="1" applyProtection="1">
      <alignment horizontal="right"/>
      <protection locked="0"/>
    </xf>
    <xf numFmtId="164" fontId="0" fillId="34" borderId="34" xfId="0" applyNumberFormat="1" applyFill="1" applyBorder="1" applyAlignment="1" applyProtection="1">
      <alignment horizontal="right"/>
      <protection locked="0"/>
    </xf>
    <xf numFmtId="9" fontId="0" fillId="34" borderId="34" xfId="0" applyNumberFormat="1" applyFill="1" applyBorder="1" applyProtection="1">
      <protection locked="0"/>
    </xf>
    <xf numFmtId="9" fontId="0" fillId="34" borderId="26" xfId="0" applyNumberFormat="1" applyFill="1" applyBorder="1" applyProtection="1">
      <protection locked="0"/>
    </xf>
    <xf numFmtId="0" fontId="24" fillId="34" borderId="34" xfId="0" applyFont="1" applyFill="1" applyBorder="1" applyProtection="1">
      <protection locked="0"/>
    </xf>
    <xf numFmtId="0" fontId="24" fillId="34" borderId="26" xfId="0" applyFont="1" applyFill="1" applyBorder="1" applyProtection="1">
      <protection locked="0"/>
    </xf>
    <xf numFmtId="0" fontId="0" fillId="34" borderId="25" xfId="0" applyFill="1" applyBorder="1" applyProtection="1">
      <protection locked="0"/>
    </xf>
    <xf numFmtId="0" fontId="32" fillId="34" borderId="25" xfId="105" applyFill="1" applyBorder="1" applyProtection="1">
      <protection locked="0"/>
    </xf>
    <xf numFmtId="0" fontId="0" fillId="0" borderId="25" xfId="0" applyBorder="1"/>
    <xf numFmtId="0" fontId="37" fillId="0" borderId="11" xfId="0" applyFont="1" applyBorder="1" applyAlignment="1">
      <alignment horizontal="right"/>
    </xf>
    <xf numFmtId="164" fontId="0" fillId="47" borderId="0" xfId="0" applyNumberFormat="1" applyFill="1" applyAlignment="1">
      <alignment horizontal="right" vertical="center" wrapText="1"/>
    </xf>
    <xf numFmtId="164" fontId="0" fillId="40" borderId="0" xfId="0" applyNumberFormat="1" applyFill="1"/>
    <xf numFmtId="0" fontId="33" fillId="0" borderId="0" xfId="0" applyFont="1" applyAlignment="1">
      <alignment horizontal="right"/>
    </xf>
    <xf numFmtId="185" fontId="24" fillId="0" borderId="0" xfId="0" applyNumberFormat="1" applyFont="1" applyAlignment="1">
      <alignment horizontal="right"/>
    </xf>
    <xf numFmtId="164" fontId="65" fillId="0" borderId="0" xfId="0" applyNumberFormat="1" applyFont="1" applyAlignment="1">
      <alignment horizontal="right"/>
    </xf>
    <xf numFmtId="0" fontId="73" fillId="0" borderId="15" xfId="0" applyFont="1" applyBorder="1"/>
    <xf numFmtId="0" fontId="38" fillId="0" borderId="15" xfId="0" applyFont="1" applyBorder="1" applyAlignment="1">
      <alignment horizontal="right"/>
    </xf>
    <xf numFmtId="0" fontId="40" fillId="0" borderId="11" xfId="0" applyFont="1" applyBorder="1"/>
    <xf numFmtId="0" fontId="41" fillId="0" borderId="11" xfId="0" applyFont="1" applyBorder="1"/>
    <xf numFmtId="164" fontId="24" fillId="51" borderId="0" xfId="0" applyNumberFormat="1" applyFont="1" applyFill="1" applyAlignment="1">
      <alignment horizontal="right"/>
    </xf>
    <xf numFmtId="164" fontId="24" fillId="47" borderId="0" xfId="0" applyNumberFormat="1" applyFont="1" applyFill="1" applyAlignment="1">
      <alignment horizontal="right"/>
    </xf>
    <xf numFmtId="164" fontId="33" fillId="42" borderId="0" xfId="0" applyNumberFormat="1" applyFont="1" applyFill="1" applyAlignment="1">
      <alignment horizontal="right"/>
    </xf>
    <xf numFmtId="0" fontId="24" fillId="0" borderId="11" xfId="0" applyFont="1" applyBorder="1" applyAlignment="1">
      <alignment horizontal="right"/>
    </xf>
    <xf numFmtId="0" fontId="34" fillId="0" borderId="11" xfId="0" applyFont="1" applyBorder="1"/>
    <xf numFmtId="0" fontId="40" fillId="0" borderId="27" xfId="0" applyFont="1" applyBorder="1"/>
    <xf numFmtId="0" fontId="41" fillId="0" borderId="25" xfId="0" applyFont="1" applyBorder="1"/>
    <xf numFmtId="0" fontId="34" fillId="0" borderId="25" xfId="0" applyFont="1" applyBorder="1" applyAlignment="1">
      <alignment horizontal="right"/>
    </xf>
    <xf numFmtId="0" fontId="40" fillId="0" borderId="25" xfId="0" applyFont="1" applyBorder="1" applyAlignment="1">
      <alignment horizontal="right"/>
    </xf>
    <xf numFmtId="0" fontId="34" fillId="0" borderId="25" xfId="0" applyFont="1" applyBorder="1"/>
    <xf numFmtId="164" fontId="34" fillId="0" borderId="25" xfId="0" applyNumberFormat="1" applyFont="1" applyBorder="1" applyAlignment="1">
      <alignment horizontal="right"/>
    </xf>
    <xf numFmtId="164" fontId="65" fillId="0" borderId="25" xfId="0" applyNumberFormat="1" applyFont="1" applyBorder="1" applyAlignment="1">
      <alignment horizontal="right"/>
    </xf>
    <xf numFmtId="0" fontId="41" fillId="0" borderId="37" xfId="0" applyFont="1" applyBorder="1"/>
    <xf numFmtId="0" fontId="42" fillId="0" borderId="32" xfId="0" applyFont="1" applyBorder="1"/>
    <xf numFmtId="0" fontId="24" fillId="0" borderId="35" xfId="0" applyFont="1" applyBorder="1" applyAlignment="1">
      <alignment horizontal="right"/>
    </xf>
    <xf numFmtId="185" fontId="24" fillId="0" borderId="32" xfId="0" applyNumberFormat="1" applyFont="1" applyBorder="1" applyAlignment="1">
      <alignment horizontal="right"/>
    </xf>
    <xf numFmtId="0" fontId="24" fillId="50" borderId="32" xfId="0" applyFont="1" applyFill="1" applyBorder="1" applyAlignment="1">
      <alignment horizontal="right"/>
    </xf>
    <xf numFmtId="0" fontId="34" fillId="0" borderId="32" xfId="0" applyFont="1" applyBorder="1"/>
    <xf numFmtId="0" fontId="24" fillId="50" borderId="35" xfId="0" applyFont="1" applyFill="1" applyBorder="1"/>
    <xf numFmtId="164" fontId="24" fillId="52" borderId="32" xfId="0" applyNumberFormat="1" applyFont="1" applyFill="1" applyBorder="1" applyAlignment="1">
      <alignment horizontal="right"/>
    </xf>
    <xf numFmtId="164" fontId="24" fillId="42" borderId="32" xfId="0" applyNumberFormat="1" applyFont="1" applyFill="1" applyBorder="1" applyAlignment="1">
      <alignment horizontal="right"/>
    </xf>
    <xf numFmtId="164" fontId="24" fillId="49" borderId="32" xfId="0" applyNumberFormat="1" applyFont="1" applyFill="1" applyBorder="1" applyAlignment="1">
      <alignment horizontal="right"/>
    </xf>
    <xf numFmtId="164" fontId="24" fillId="0" borderId="31" xfId="0" applyNumberFormat="1" applyFont="1" applyBorder="1" applyAlignment="1">
      <alignment horizontal="right"/>
    </xf>
    <xf numFmtId="164" fontId="34" fillId="0" borderId="32" xfId="0" applyNumberFormat="1" applyFont="1" applyBorder="1" applyAlignment="1">
      <alignment horizontal="right"/>
    </xf>
    <xf numFmtId="164" fontId="34" fillId="42" borderId="32" xfId="0" applyNumberFormat="1" applyFont="1" applyFill="1" applyBorder="1" applyAlignment="1">
      <alignment horizontal="right"/>
    </xf>
    <xf numFmtId="164" fontId="24" fillId="47" borderId="32" xfId="0" applyNumberFormat="1" applyFont="1" applyFill="1" applyBorder="1" applyAlignment="1">
      <alignment horizontal="right"/>
    </xf>
    <xf numFmtId="164" fontId="24" fillId="52" borderId="31" xfId="0" applyNumberFormat="1" applyFont="1" applyFill="1" applyBorder="1" applyAlignment="1">
      <alignment horizontal="right"/>
    </xf>
    <xf numFmtId="164" fontId="0" fillId="42" borderId="32" xfId="0" applyNumberFormat="1" applyFill="1" applyBorder="1" applyAlignment="1">
      <alignment horizontal="right"/>
    </xf>
    <xf numFmtId="164" fontId="39" fillId="45" borderId="31" xfId="0" applyNumberFormat="1" applyFont="1" applyFill="1" applyBorder="1" applyAlignment="1">
      <alignment horizontal="right"/>
    </xf>
    <xf numFmtId="0" fontId="34" fillId="0" borderId="31" xfId="0" applyFont="1" applyBorder="1"/>
    <xf numFmtId="0" fontId="34" fillId="0" borderId="35" xfId="0" applyFont="1" applyBorder="1"/>
    <xf numFmtId="0" fontId="24" fillId="52" borderId="35" xfId="0" applyFont="1" applyFill="1" applyBorder="1"/>
    <xf numFmtId="0" fontId="42" fillId="0" borderId="27" xfId="0" applyFont="1" applyBorder="1"/>
    <xf numFmtId="0" fontId="42" fillId="0" borderId="25" xfId="0" applyFont="1" applyBorder="1"/>
    <xf numFmtId="0" fontId="24" fillId="0" borderId="26" xfId="0" applyFont="1" applyBorder="1" applyAlignment="1">
      <alignment horizontal="right"/>
    </xf>
    <xf numFmtId="185" fontId="24" fillId="0" borderId="25" xfId="0" applyNumberFormat="1" applyFont="1" applyBorder="1" applyAlignment="1">
      <alignment horizontal="right"/>
    </xf>
    <xf numFmtId="0" fontId="24" fillId="50" borderId="25" xfId="0" applyFont="1" applyFill="1" applyBorder="1" applyAlignment="1">
      <alignment horizontal="right"/>
    </xf>
    <xf numFmtId="0" fontId="24" fillId="50" borderId="26" xfId="0" applyFont="1" applyFill="1" applyBorder="1"/>
    <xf numFmtId="164" fontId="24" fillId="52" borderId="25" xfId="0" applyNumberFormat="1" applyFont="1" applyFill="1" applyBorder="1" applyAlignment="1">
      <alignment horizontal="right"/>
    </xf>
    <xf numFmtId="164" fontId="24" fillId="42" borderId="25" xfId="0" applyNumberFormat="1" applyFont="1" applyFill="1" applyBorder="1" applyAlignment="1">
      <alignment horizontal="right"/>
    </xf>
    <xf numFmtId="164" fontId="24" fillId="49" borderId="25" xfId="0" applyNumberFormat="1" applyFont="1" applyFill="1" applyBorder="1" applyAlignment="1">
      <alignment horizontal="right"/>
    </xf>
    <xf numFmtId="164" fontId="24" fillId="0" borderId="34" xfId="0" applyNumberFormat="1" applyFont="1" applyBorder="1" applyAlignment="1">
      <alignment horizontal="right"/>
    </xf>
    <xf numFmtId="164" fontId="34" fillId="42" borderId="25" xfId="0" applyNumberFormat="1" applyFont="1" applyFill="1" applyBorder="1" applyAlignment="1">
      <alignment horizontal="right"/>
    </xf>
    <xf numFmtId="164" fontId="24" fillId="47" borderId="25" xfId="0" applyNumberFormat="1" applyFont="1" applyFill="1" applyBorder="1" applyAlignment="1">
      <alignment horizontal="right"/>
    </xf>
    <xf numFmtId="164" fontId="24" fillId="52" borderId="34" xfId="0" applyNumberFormat="1" applyFont="1" applyFill="1" applyBorder="1" applyAlignment="1">
      <alignment horizontal="right"/>
    </xf>
    <xf numFmtId="164" fontId="0" fillId="42" borderId="25" xfId="0" applyNumberFormat="1" applyFill="1" applyBorder="1" applyAlignment="1">
      <alignment horizontal="right"/>
    </xf>
    <xf numFmtId="164" fontId="39" fillId="45" borderId="34" xfId="0" applyNumberFormat="1" applyFont="1" applyFill="1" applyBorder="1" applyAlignment="1">
      <alignment horizontal="right"/>
    </xf>
    <xf numFmtId="0" fontId="34" fillId="0" borderId="34" xfId="0" applyFont="1" applyBorder="1"/>
    <xf numFmtId="0" fontId="34" fillId="0" borderId="26" xfId="0" applyFont="1" applyBorder="1"/>
    <xf numFmtId="0" fontId="24" fillId="52" borderId="26" xfId="0" applyFont="1" applyFill="1" applyBorder="1"/>
    <xf numFmtId="164" fontId="39" fillId="0" borderId="0" xfId="0" applyNumberFormat="1" applyFont="1" applyAlignment="1">
      <alignment horizontal="right"/>
    </xf>
    <xf numFmtId="0" fontId="73" fillId="0" borderId="11" xfId="0" applyFont="1" applyBorder="1"/>
    <xf numFmtId="0" fontId="39" fillId="61" borderId="0" xfId="0" applyFont="1" applyFill="1"/>
    <xf numFmtId="0" fontId="44" fillId="0" borderId="21" xfId="0" applyFont="1" applyBorder="1"/>
    <xf numFmtId="0" fontId="39" fillId="0" borderId="42" xfId="0" applyFont="1" applyBorder="1" applyAlignment="1">
      <alignment horizontal="right"/>
    </xf>
    <xf numFmtId="0" fontId="39" fillId="0" borderId="21" xfId="0" applyFont="1" applyBorder="1" applyAlignment="1">
      <alignment horizontal="right"/>
    </xf>
    <xf numFmtId="0" fontId="39" fillId="50" borderId="21" xfId="0" applyFont="1" applyFill="1" applyBorder="1" applyAlignment="1">
      <alignment horizontal="right"/>
    </xf>
    <xf numFmtId="181" fontId="39" fillId="0" borderId="21" xfId="0" applyNumberFormat="1" applyFont="1" applyBorder="1"/>
    <xf numFmtId="0" fontId="39" fillId="50" borderId="42" xfId="0" applyFont="1" applyFill="1" applyBorder="1"/>
    <xf numFmtId="164" fontId="39" fillId="40" borderId="21" xfId="0" applyNumberFormat="1" applyFont="1" applyFill="1" applyBorder="1" applyAlignment="1">
      <alignment horizontal="right"/>
    </xf>
    <xf numFmtId="164" fontId="39" fillId="42" borderId="21" xfId="0" applyNumberFormat="1" applyFont="1" applyFill="1" applyBorder="1" applyAlignment="1">
      <alignment horizontal="right"/>
    </xf>
    <xf numFmtId="164" fontId="39" fillId="0" borderId="21" xfId="0" applyNumberFormat="1" applyFont="1" applyBorder="1" applyAlignment="1">
      <alignment horizontal="right"/>
    </xf>
    <xf numFmtId="164" fontId="39" fillId="0" borderId="43" xfId="0" applyNumberFormat="1" applyFont="1" applyBorder="1" applyAlignment="1">
      <alignment horizontal="right"/>
    </xf>
    <xf numFmtId="164" fontId="39" fillId="40" borderId="43" xfId="0" applyNumberFormat="1" applyFont="1" applyFill="1" applyBorder="1" applyAlignment="1">
      <alignment horizontal="right"/>
    </xf>
    <xf numFmtId="164" fontId="0" fillId="42" borderId="21" xfId="0" applyNumberFormat="1" applyFill="1" applyBorder="1" applyAlignment="1">
      <alignment horizontal="right"/>
    </xf>
    <xf numFmtId="164" fontId="0" fillId="45" borderId="43" xfId="0" applyNumberFormat="1" applyFill="1" applyBorder="1" applyAlignment="1">
      <alignment horizontal="right"/>
    </xf>
    <xf numFmtId="9" fontId="39" fillId="40" borderId="43" xfId="0" applyNumberFormat="1" applyFont="1" applyFill="1" applyBorder="1"/>
    <xf numFmtId="9" fontId="39" fillId="45" borderId="42" xfId="0" applyNumberFormat="1" applyFont="1" applyFill="1" applyBorder="1"/>
    <xf numFmtId="0" fontId="39" fillId="40" borderId="43" xfId="0" applyFont="1" applyFill="1" applyBorder="1"/>
    <xf numFmtId="0" fontId="39" fillId="40" borderId="42" xfId="0" applyFont="1" applyFill="1" applyBorder="1"/>
    <xf numFmtId="0" fontId="39" fillId="0" borderId="42" xfId="0" applyFont="1" applyBorder="1"/>
    <xf numFmtId="0" fontId="32" fillId="0" borderId="21" xfId="105" applyBorder="1"/>
    <xf numFmtId="0" fontId="39" fillId="61" borderId="21" xfId="0" applyFont="1" applyFill="1" applyBorder="1"/>
    <xf numFmtId="0" fontId="39" fillId="0" borderId="31" xfId="0" applyFont="1" applyBorder="1"/>
    <xf numFmtId="0" fontId="39" fillId="0" borderId="35" xfId="0" applyFont="1" applyBorder="1"/>
    <xf numFmtId="0" fontId="24" fillId="0" borderId="27" xfId="0" applyFont="1" applyBorder="1" applyAlignment="1">
      <alignment horizontal="right"/>
    </xf>
    <xf numFmtId="0" fontId="78" fillId="34" borderId="0" xfId="105" applyFont="1" applyFill="1" applyBorder="1" applyProtection="1">
      <protection locked="0"/>
    </xf>
    <xf numFmtId="0" fontId="39" fillId="0" borderId="32" xfId="0" applyFont="1" applyBorder="1"/>
    <xf numFmtId="0" fontId="44" fillId="0" borderId="32" xfId="0" applyFont="1" applyBorder="1"/>
    <xf numFmtId="0" fontId="39" fillId="50" borderId="32" xfId="0" applyFont="1" applyFill="1" applyBorder="1" applyAlignment="1">
      <alignment horizontal="right"/>
    </xf>
    <xf numFmtId="0" fontId="39" fillId="50" borderId="35" xfId="0" applyFont="1" applyFill="1" applyBorder="1"/>
    <xf numFmtId="164" fontId="39" fillId="53" borderId="32" xfId="0" applyNumberFormat="1" applyFont="1" applyFill="1" applyBorder="1" applyAlignment="1">
      <alignment horizontal="right"/>
    </xf>
    <xf numFmtId="164" fontId="39" fillId="42" borderId="32" xfId="0" applyNumberFormat="1" applyFont="1" applyFill="1" applyBorder="1" applyAlignment="1">
      <alignment horizontal="right"/>
    </xf>
    <xf numFmtId="164" fontId="34" fillId="0" borderId="31" xfId="0" applyNumberFormat="1" applyFont="1" applyBorder="1" applyAlignment="1">
      <alignment horizontal="right"/>
    </xf>
    <xf numFmtId="178" fontId="24" fillId="0" borderId="0" xfId="0" applyNumberFormat="1" applyFont="1"/>
    <xf numFmtId="0" fontId="44" fillId="0" borderId="20" xfId="0" applyFont="1" applyBorder="1" applyAlignment="1">
      <alignment horizontal="right"/>
    </xf>
    <xf numFmtId="178" fontId="24" fillId="0" borderId="21" xfId="0" applyNumberFormat="1" applyFont="1" applyBorder="1"/>
    <xf numFmtId="0" fontId="40" fillId="0" borderId="37" xfId="0" applyFont="1" applyBorder="1"/>
    <xf numFmtId="0" fontId="34" fillId="0" borderId="35" xfId="0" applyFont="1" applyBorder="1" applyAlignment="1">
      <alignment horizontal="right"/>
    </xf>
    <xf numFmtId="0" fontId="34" fillId="0" borderId="32" xfId="0" applyFont="1" applyBorder="1" applyAlignment="1">
      <alignment horizontal="right"/>
    </xf>
    <xf numFmtId="0" fontId="0" fillId="50" borderId="32" xfId="0" applyFill="1" applyBorder="1" applyAlignment="1">
      <alignment horizontal="right"/>
    </xf>
    <xf numFmtId="0" fontId="0" fillId="50" borderId="35" xfId="0" applyFill="1" applyBorder="1"/>
    <xf numFmtId="164" fontId="0" fillId="0" borderId="32" xfId="0" applyNumberFormat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0" fontId="0" fillId="0" borderId="31" xfId="0" applyBorder="1"/>
    <xf numFmtId="0" fontId="0" fillId="0" borderId="35" xfId="0" applyBorder="1"/>
    <xf numFmtId="0" fontId="37" fillId="0" borderId="37" xfId="0" applyFont="1" applyBorder="1" applyAlignment="1">
      <alignment horizontal="right"/>
    </xf>
    <xf numFmtId="0" fontId="3" fillId="0" borderId="32" xfId="0" applyFont="1" applyBorder="1"/>
    <xf numFmtId="0" fontId="0" fillId="0" borderId="35" xfId="0" applyBorder="1" applyAlignment="1">
      <alignment horizontal="right"/>
    </xf>
    <xf numFmtId="0" fontId="0" fillId="0" borderId="32" xfId="0" applyBorder="1" applyAlignment="1">
      <alignment horizontal="right"/>
    </xf>
    <xf numFmtId="164" fontId="0" fillId="40" borderId="32" xfId="0" applyNumberFormat="1" applyFill="1" applyBorder="1" applyAlignment="1">
      <alignment horizontal="right"/>
    </xf>
    <xf numFmtId="164" fontId="0" fillId="49" borderId="32" xfId="0" applyNumberFormat="1" applyFill="1" applyBorder="1" applyAlignment="1">
      <alignment horizontal="right"/>
    </xf>
    <xf numFmtId="164" fontId="0" fillId="47" borderId="32" xfId="0" applyNumberFormat="1" applyFill="1" applyBorder="1" applyAlignment="1">
      <alignment horizontal="right" vertical="center"/>
    </xf>
    <xf numFmtId="164" fontId="0" fillId="45" borderId="31" xfId="0" applyNumberFormat="1" applyFill="1" applyBorder="1" applyAlignment="1">
      <alignment horizontal="right"/>
    </xf>
    <xf numFmtId="9" fontId="0" fillId="0" borderId="31" xfId="0" applyNumberFormat="1" applyBorder="1"/>
    <xf numFmtId="9" fontId="0" fillId="45" borderId="35" xfId="0" applyNumberFormat="1" applyFill="1" applyBorder="1"/>
    <xf numFmtId="0" fontId="0" fillId="40" borderId="31" xfId="0" applyFill="1" applyBorder="1"/>
    <xf numFmtId="0" fontId="0" fillId="40" borderId="35" xfId="0" applyFill="1" applyBorder="1"/>
    <xf numFmtId="0" fontId="0" fillId="47" borderId="35" xfId="0" applyFill="1" applyBorder="1"/>
    <xf numFmtId="0" fontId="32" fillId="0" borderId="32" xfId="105" applyFill="1" applyBorder="1"/>
    <xf numFmtId="0" fontId="0" fillId="61" borderId="32" xfId="0" applyFill="1" applyBorder="1"/>
    <xf numFmtId="198" fontId="39" fillId="0" borderId="15" xfId="0" applyNumberFormat="1" applyFont="1" applyBorder="1"/>
    <xf numFmtId="198" fontId="39" fillId="0" borderId="0" xfId="0" applyNumberFormat="1" applyFont="1"/>
    <xf numFmtId="198" fontId="39" fillId="0" borderId="30" xfId="0" applyNumberFormat="1" applyFont="1" applyBorder="1"/>
    <xf numFmtId="198" fontId="39" fillId="0" borderId="21" xfId="0" applyNumberFormat="1" applyFont="1" applyBorder="1"/>
    <xf numFmtId="0" fontId="76" fillId="0" borderId="0" xfId="0" applyFont="1"/>
    <xf numFmtId="0" fontId="3" fillId="0" borderId="25" xfId="0" applyFont="1" applyBorder="1"/>
    <xf numFmtId="0" fontId="0" fillId="0" borderId="26" xfId="0" applyBorder="1" applyAlignment="1">
      <alignment horizontal="right"/>
    </xf>
    <xf numFmtId="0" fontId="0" fillId="0" borderId="25" xfId="0" applyBorder="1" applyAlignment="1">
      <alignment horizontal="right"/>
    </xf>
    <xf numFmtId="198" fontId="39" fillId="0" borderId="25" xfId="0" applyNumberFormat="1" applyFont="1" applyBorder="1"/>
    <xf numFmtId="164" fontId="0" fillId="50" borderId="26" xfId="0" applyNumberFormat="1" applyFill="1" applyBorder="1"/>
    <xf numFmtId="164" fontId="39" fillId="40" borderId="25" xfId="0" applyNumberFormat="1" applyFont="1" applyFill="1" applyBorder="1" applyAlignment="1">
      <alignment horizontal="right"/>
    </xf>
    <xf numFmtId="164" fontId="0" fillId="49" borderId="25" xfId="0" applyNumberFormat="1" applyFill="1" applyBorder="1" applyAlignment="1">
      <alignment horizontal="right"/>
    </xf>
    <xf numFmtId="164" fontId="0" fillId="35" borderId="25" xfId="0" applyNumberFormat="1" applyFill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47" borderId="25" xfId="0" applyNumberFormat="1" applyFill="1" applyBorder="1" applyAlignment="1">
      <alignment horizontal="right" vertical="center"/>
    </xf>
    <xf numFmtId="164" fontId="39" fillId="40" borderId="34" xfId="0" applyNumberFormat="1" applyFont="1" applyFill="1" applyBorder="1" applyAlignment="1">
      <alignment horizontal="right"/>
    </xf>
    <xf numFmtId="164" fontId="0" fillId="45" borderId="34" xfId="0" applyNumberFormat="1" applyFill="1" applyBorder="1" applyAlignment="1">
      <alignment horizontal="right"/>
    </xf>
    <xf numFmtId="9" fontId="0" fillId="0" borderId="34" xfId="0" applyNumberFormat="1" applyBorder="1"/>
    <xf numFmtId="0" fontId="0" fillId="0" borderId="26" xfId="0" applyBorder="1"/>
    <xf numFmtId="0" fontId="0" fillId="40" borderId="34" xfId="0" applyFill="1" applyBorder="1"/>
    <xf numFmtId="0" fontId="0" fillId="40" borderId="26" xfId="0" applyFill="1" applyBorder="1"/>
    <xf numFmtId="0" fontId="0" fillId="52" borderId="26" xfId="0" applyFill="1" applyBorder="1"/>
    <xf numFmtId="0" fontId="32" fillId="0" borderId="25" xfId="105" applyFill="1" applyBorder="1"/>
    <xf numFmtId="0" fontId="0" fillId="61" borderId="25" xfId="0" applyFill="1" applyBorder="1"/>
    <xf numFmtId="0" fontId="74" fillId="0" borderId="0" xfId="0" applyFont="1"/>
    <xf numFmtId="0" fontId="76" fillId="0" borderId="15" xfId="0" applyFont="1" applyBorder="1"/>
    <xf numFmtId="164" fontId="24" fillId="0" borderId="15" xfId="0" applyNumberFormat="1" applyFont="1" applyBorder="1" applyAlignment="1">
      <alignment horizontal="right"/>
    </xf>
    <xf numFmtId="0" fontId="39" fillId="0" borderId="11" xfId="0" applyFont="1" applyBorder="1"/>
    <xf numFmtId="170" fontId="39" fillId="0" borderId="0" xfId="0" applyNumberFormat="1" applyFont="1" applyAlignment="1">
      <alignment horizontal="right"/>
    </xf>
    <xf numFmtId="164" fontId="39" fillId="34" borderId="43" xfId="0" applyNumberFormat="1" applyFont="1" applyFill="1" applyBorder="1" applyAlignment="1" applyProtection="1">
      <alignment horizontal="right"/>
      <protection locked="0"/>
    </xf>
    <xf numFmtId="0" fontId="24" fillId="0" borderId="42" xfId="0" applyFont="1" applyBorder="1" applyProtection="1">
      <protection locked="0"/>
    </xf>
    <xf numFmtId="0" fontId="48" fillId="0" borderId="21" xfId="0" applyFont="1" applyBorder="1"/>
    <xf numFmtId="0" fontId="48" fillId="0" borderId="0" xfId="0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9" fillId="0" borderId="0" xfId="105" applyFont="1" applyFill="1" applyBorder="1"/>
    <xf numFmtId="0" fontId="39" fillId="0" borderId="40" xfId="0" applyFont="1" applyBorder="1" applyAlignment="1">
      <alignment horizontal="right"/>
    </xf>
    <xf numFmtId="164" fontId="39" fillId="47" borderId="0" xfId="0" applyNumberFormat="1" applyFont="1" applyFill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3" fillId="0" borderId="21" xfId="0" applyFont="1" applyBorder="1"/>
    <xf numFmtId="0" fontId="0" fillId="0" borderId="42" xfId="0" applyBorder="1" applyAlignment="1">
      <alignment horizontal="right"/>
    </xf>
    <xf numFmtId="0" fontId="0" fillId="0" borderId="21" xfId="0" applyBorder="1" applyAlignment="1">
      <alignment horizontal="right"/>
    </xf>
    <xf numFmtId="0" fontId="3" fillId="0" borderId="27" xfId="0" applyFont="1" applyBorder="1" applyAlignment="1">
      <alignment horizontal="right"/>
    </xf>
    <xf numFmtId="178" fontId="24" fillId="0" borderId="25" xfId="0" applyNumberFormat="1" applyFont="1" applyBorder="1"/>
    <xf numFmtId="0" fontId="24" fillId="0" borderId="26" xfId="0" applyFont="1" applyBorder="1" applyProtection="1">
      <protection locked="0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0" fillId="0" borderId="20" xfId="0" applyFont="1" applyBorder="1"/>
    <xf numFmtId="164" fontId="0" fillId="0" borderId="43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0" fontId="0" fillId="0" borderId="42" xfId="0" applyBorder="1"/>
    <xf numFmtId="0" fontId="37" fillId="0" borderId="15" xfId="0" applyFont="1" applyBorder="1"/>
    <xf numFmtId="164" fontId="0" fillId="51" borderId="0" xfId="0" applyNumberFormat="1" applyFill="1" applyAlignment="1">
      <alignment horizontal="right"/>
    </xf>
    <xf numFmtId="164" fontId="39" fillId="52" borderId="0" xfId="0" applyNumberFormat="1" applyFont="1" applyFill="1" applyAlignment="1">
      <alignment horizontal="right"/>
    </xf>
    <xf numFmtId="0" fontId="3" fillId="0" borderId="20" xfId="0" applyFont="1" applyBorder="1" applyAlignment="1">
      <alignment horizontal="right"/>
    </xf>
    <xf numFmtId="0" fontId="51" fillId="0" borderId="25" xfId="0" applyFont="1" applyBorder="1"/>
    <xf numFmtId="0" fontId="37" fillId="0" borderId="11" xfId="0" applyFont="1" applyBorder="1"/>
    <xf numFmtId="186" fontId="2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99" fontId="0" fillId="0" borderId="0" xfId="0" applyNumberFormat="1"/>
    <xf numFmtId="0" fontId="37" fillId="0" borderId="37" xfId="0" applyFont="1" applyBorder="1"/>
    <xf numFmtId="186" fontId="24" fillId="0" borderId="32" xfId="0" applyNumberFormat="1" applyFont="1" applyBorder="1" applyAlignment="1">
      <alignment horizontal="right"/>
    </xf>
    <xf numFmtId="198" fontId="39" fillId="0" borderId="32" xfId="0" applyNumberFormat="1" applyFont="1" applyBorder="1"/>
    <xf numFmtId="164" fontId="0" fillId="52" borderId="31" xfId="0" applyNumberFormat="1" applyFill="1" applyBorder="1" applyAlignment="1">
      <alignment horizontal="right"/>
    </xf>
    <xf numFmtId="164" fontId="0" fillId="52" borderId="32" xfId="0" applyNumberFormat="1" applyFill="1" applyBorder="1" applyAlignment="1">
      <alignment horizontal="right"/>
    </xf>
    <xf numFmtId="164" fontId="0" fillId="52" borderId="30" xfId="0" applyNumberFormat="1" applyFill="1" applyBorder="1" applyAlignment="1">
      <alignment horizontal="right"/>
    </xf>
    <xf numFmtId="10" fontId="0" fillId="0" borderId="31" xfId="0" applyNumberFormat="1" applyBorder="1"/>
    <xf numFmtId="169" fontId="44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 vertical="center"/>
    </xf>
    <xf numFmtId="9" fontId="0" fillId="45" borderId="0" xfId="0" applyNumberFormat="1" applyFill="1"/>
    <xf numFmtId="0" fontId="3" fillId="61" borderId="0" xfId="0" applyFont="1" applyFill="1"/>
    <xf numFmtId="0" fontId="35" fillId="0" borderId="11" xfId="0" applyFont="1" applyBorder="1"/>
    <xf numFmtId="9" fontId="35" fillId="0" borderId="0" xfId="0" applyNumberFormat="1" applyFont="1"/>
    <xf numFmtId="9" fontId="0" fillId="40" borderId="0" xfId="0" applyNumberFormat="1" applyFill="1"/>
    <xf numFmtId="0" fontId="59" fillId="0" borderId="0" xfId="105" applyFont="1" applyFill="1" applyBorder="1" applyAlignment="1">
      <alignment wrapText="1"/>
    </xf>
    <xf numFmtId="192" fontId="44" fillId="0" borderId="0" xfId="0" applyNumberFormat="1" applyFont="1" applyAlignment="1">
      <alignment horizontal="right"/>
    </xf>
    <xf numFmtId="0" fontId="3" fillId="0" borderId="38" xfId="0" applyFont="1" applyBorder="1"/>
    <xf numFmtId="0" fontId="3" fillId="0" borderId="44" xfId="0" applyFont="1" applyBorder="1"/>
    <xf numFmtId="0" fontId="0" fillId="0" borderId="44" xfId="0" applyBorder="1" applyAlignment="1">
      <alignment horizontal="right"/>
    </xf>
    <xf numFmtId="0" fontId="0" fillId="0" borderId="44" xfId="0" applyBorder="1"/>
    <xf numFmtId="164" fontId="0" fillId="0" borderId="44" xfId="0" applyNumberFormat="1" applyBorder="1" applyAlignment="1">
      <alignment horizontal="right"/>
    </xf>
    <xf numFmtId="0" fontId="32" fillId="0" borderId="44" xfId="105" applyFill="1" applyBorder="1"/>
    <xf numFmtId="164" fontId="65" fillId="42" borderId="0" xfId="0" applyNumberFormat="1" applyFont="1" applyFill="1" applyAlignment="1">
      <alignment horizontal="right"/>
    </xf>
    <xf numFmtId="0" fontId="30" fillId="0" borderId="0" xfId="0" applyFont="1" applyAlignment="1">
      <alignment horizontal="right"/>
    </xf>
    <xf numFmtId="0" fontId="56" fillId="0" borderId="0" xfId="105" applyFont="1" applyFill="1" applyBorder="1"/>
    <xf numFmtId="1" fontId="39" fillId="50" borderId="23" xfId="0" applyNumberFormat="1" applyFont="1" applyFill="1" applyBorder="1"/>
    <xf numFmtId="0" fontId="55" fillId="0" borderId="0" xfId="0" applyFont="1" applyAlignment="1">
      <alignment horizontal="right"/>
    </xf>
    <xf numFmtId="2" fontId="0" fillId="50" borderId="23" xfId="0" applyNumberFormat="1" applyFill="1" applyBorder="1"/>
    <xf numFmtId="164" fontId="65" fillId="0" borderId="15" xfId="0" applyNumberFormat="1" applyFont="1" applyBorder="1" applyAlignment="1">
      <alignment horizontal="right"/>
    </xf>
    <xf numFmtId="164" fontId="30" fillId="42" borderId="0" xfId="0" applyNumberFormat="1" applyFont="1" applyFill="1" applyAlignment="1">
      <alignment horizontal="right"/>
    </xf>
    <xf numFmtId="0" fontId="0" fillId="34" borderId="42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78" fillId="0" borderId="0" xfId="105" applyFont="1" applyBorder="1"/>
    <xf numFmtId="164" fontId="55" fillId="0" borderId="0" xfId="0" applyNumberFormat="1" applyFont="1" applyAlignment="1">
      <alignment horizontal="right"/>
    </xf>
    <xf numFmtId="164" fontId="55" fillId="42" borderId="0" xfId="0" applyNumberFormat="1" applyFont="1" applyFill="1" applyAlignment="1">
      <alignment horizontal="right"/>
    </xf>
    <xf numFmtId="164" fontId="0" fillId="44" borderId="0" xfId="0" applyNumberFormat="1" applyFill="1" applyAlignment="1">
      <alignment horizontal="right"/>
    </xf>
    <xf numFmtId="0" fontId="0" fillId="34" borderId="21" xfId="0" applyFill="1" applyBorder="1"/>
    <xf numFmtId="0" fontId="3" fillId="0" borderId="32" xfId="0" applyFont="1" applyBorder="1" applyAlignment="1">
      <alignment horizontal="left" vertical="center"/>
    </xf>
    <xf numFmtId="1" fontId="0" fillId="50" borderId="35" xfId="0" applyNumberFormat="1" applyFill="1" applyBorder="1"/>
    <xf numFmtId="164" fontId="65" fillId="42" borderId="32" xfId="0" applyNumberFormat="1" applyFont="1" applyFill="1" applyBorder="1" applyAlignment="1">
      <alignment horizontal="right"/>
    </xf>
    <xf numFmtId="9" fontId="0" fillId="40" borderId="31" xfId="0" applyNumberFormat="1" applyFill="1" applyBorder="1"/>
    <xf numFmtId="164" fontId="66" fillId="40" borderId="31" xfId="0" applyNumberFormat="1" applyFont="1" applyFill="1" applyBorder="1" applyAlignment="1">
      <alignment horizontal="right"/>
    </xf>
    <xf numFmtId="0" fontId="32" fillId="0" borderId="32" xfId="105" applyBorder="1"/>
    <xf numFmtId="0" fontId="55" fillId="0" borderId="37" xfId="0" applyFont="1" applyBorder="1"/>
    <xf numFmtId="0" fontId="55" fillId="0" borderId="35" xfId="0" applyFont="1" applyBorder="1" applyAlignment="1">
      <alignment horizontal="right"/>
    </xf>
    <xf numFmtId="0" fontId="55" fillId="0" borderId="32" xfId="0" applyFont="1" applyBorder="1" applyAlignment="1">
      <alignment horizontal="right"/>
    </xf>
    <xf numFmtId="2" fontId="55" fillId="50" borderId="35" xfId="0" applyNumberFormat="1" applyFont="1" applyFill="1" applyBorder="1"/>
    <xf numFmtId="164" fontId="55" fillId="0" borderId="31" xfId="0" applyNumberFormat="1" applyFont="1" applyBorder="1" applyAlignment="1">
      <alignment horizontal="right"/>
    </xf>
    <xf numFmtId="164" fontId="55" fillId="0" borderId="32" xfId="0" applyNumberFormat="1" applyFont="1" applyBorder="1" applyAlignment="1">
      <alignment horizontal="right"/>
    </xf>
    <xf numFmtId="164" fontId="55" fillId="42" borderId="32" xfId="0" applyNumberFormat="1" applyFont="1" applyFill="1" applyBorder="1" applyAlignment="1">
      <alignment horizontal="right"/>
    </xf>
    <xf numFmtId="0" fontId="55" fillId="0" borderId="35" xfId="0" applyFont="1" applyBorder="1"/>
    <xf numFmtId="0" fontId="55" fillId="0" borderId="32" xfId="0" applyFont="1" applyBorder="1"/>
    <xf numFmtId="0" fontId="56" fillId="0" borderId="32" xfId="105" applyFont="1" applyFill="1" applyBorder="1"/>
    <xf numFmtId="164" fontId="65" fillId="42" borderId="25" xfId="0" applyNumberFormat="1" applyFont="1" applyFill="1" applyBorder="1" applyAlignment="1">
      <alignment horizontal="right"/>
    </xf>
    <xf numFmtId="9" fontId="0" fillId="40" borderId="34" xfId="0" applyNumberFormat="1" applyFill="1" applyBorder="1"/>
    <xf numFmtId="9" fontId="0" fillId="45" borderId="26" xfId="0" applyNumberFormat="1" applyFill="1" applyBorder="1"/>
    <xf numFmtId="164" fontId="0" fillId="47" borderId="0" xfId="0" applyNumberFormat="1" applyFill="1" applyAlignment="1">
      <alignment horizontal="right"/>
    </xf>
    <xf numFmtId="164" fontId="42" fillId="49" borderId="0" xfId="0" applyNumberFormat="1" applyFont="1" applyFill="1" applyAlignment="1">
      <alignment horizontal="right"/>
    </xf>
    <xf numFmtId="164" fontId="0" fillId="0" borderId="44" xfId="0" applyNumberFormat="1" applyBorder="1" applyAlignment="1">
      <alignment horizontal="right" vertical="center"/>
    </xf>
    <xf numFmtId="164" fontId="65" fillId="0" borderId="44" xfId="0" applyNumberFormat="1" applyFont="1" applyBorder="1" applyAlignment="1">
      <alignment horizontal="right"/>
    </xf>
    <xf numFmtId="164" fontId="0" fillId="47" borderId="15" xfId="0" applyNumberFormat="1" applyFill="1" applyBorder="1" applyAlignment="1">
      <alignment horizontal="right" vertical="center" wrapText="1"/>
    </xf>
    <xf numFmtId="164" fontId="66" fillId="40" borderId="41" xfId="0" applyNumberFormat="1" applyFont="1" applyFill="1" applyBorder="1" applyAlignment="1">
      <alignment horizontal="right"/>
    </xf>
    <xf numFmtId="164" fontId="65" fillId="42" borderId="15" xfId="0" applyNumberFormat="1" applyFont="1" applyFill="1" applyBorder="1" applyAlignment="1">
      <alignment horizontal="right"/>
    </xf>
    <xf numFmtId="164" fontId="39" fillId="45" borderId="41" xfId="0" applyNumberFormat="1" applyFont="1" applyFill="1" applyBorder="1" applyAlignment="1">
      <alignment horizontal="right"/>
    </xf>
    <xf numFmtId="164" fontId="24" fillId="0" borderId="25" xfId="0" applyNumberFormat="1" applyFont="1" applyBorder="1" applyAlignment="1">
      <alignment horizontal="right"/>
    </xf>
    <xf numFmtId="164" fontId="48" fillId="40" borderId="0" xfId="0" applyNumberFormat="1" applyFont="1" applyFill="1" applyAlignment="1">
      <alignment horizontal="right"/>
    </xf>
    <xf numFmtId="164" fontId="48" fillId="42" borderId="0" xfId="0" applyNumberFormat="1" applyFont="1" applyFill="1" applyAlignment="1">
      <alignment horizontal="right"/>
    </xf>
    <xf numFmtId="164" fontId="0" fillId="40" borderId="25" xfId="0" applyNumberFormat="1" applyFill="1" applyBorder="1" applyAlignment="1">
      <alignment horizontal="right"/>
    </xf>
    <xf numFmtId="164" fontId="24" fillId="35" borderId="25" xfId="0" applyNumberFormat="1" applyFont="1" applyFill="1" applyBorder="1" applyAlignment="1">
      <alignment horizontal="right"/>
    </xf>
    <xf numFmtId="0" fontId="32" fillId="0" borderId="25" xfId="105" applyBorder="1"/>
    <xf numFmtId="0" fontId="24" fillId="0" borderId="32" xfId="0" applyFont="1" applyBorder="1" applyAlignment="1">
      <alignment horizontal="right"/>
    </xf>
    <xf numFmtId="164" fontId="24" fillId="40" borderId="32" xfId="0" applyNumberFormat="1" applyFont="1" applyFill="1" applyBorder="1" applyAlignment="1">
      <alignment horizontal="right"/>
    </xf>
    <xf numFmtId="164" fontId="24" fillId="35" borderId="32" xfId="0" applyNumberFormat="1" applyFont="1" applyFill="1" applyBorder="1" applyAlignment="1">
      <alignment horizontal="right"/>
    </xf>
    <xf numFmtId="0" fontId="24" fillId="0" borderId="42" xfId="0" applyFont="1" applyBorder="1" applyAlignment="1">
      <alignment horizontal="right"/>
    </xf>
    <xf numFmtId="164" fontId="24" fillId="49" borderId="21" xfId="0" applyNumberFormat="1" applyFont="1" applyFill="1" applyBorder="1" applyAlignment="1">
      <alignment horizontal="right"/>
    </xf>
    <xf numFmtId="164" fontId="0" fillId="35" borderId="21" xfId="0" applyNumberFormat="1" applyFill="1" applyBorder="1" applyAlignment="1">
      <alignment horizontal="right"/>
    </xf>
    <xf numFmtId="164" fontId="0" fillId="47" borderId="21" xfId="0" applyNumberFormat="1" applyFill="1" applyBorder="1" applyAlignment="1">
      <alignment horizontal="right" vertical="center"/>
    </xf>
    <xf numFmtId="164" fontId="0" fillId="35" borderId="43" xfId="0" applyNumberFormat="1" applyFill="1" applyBorder="1" applyAlignment="1">
      <alignment horizontal="right"/>
    </xf>
    <xf numFmtId="164" fontId="65" fillId="42" borderId="21" xfId="0" applyNumberFormat="1" applyFont="1" applyFill="1" applyBorder="1" applyAlignment="1">
      <alignment horizontal="right"/>
    </xf>
    <xf numFmtId="9" fontId="24" fillId="40" borderId="43" xfId="0" applyNumberFormat="1" applyFont="1" applyFill="1" applyBorder="1"/>
    <xf numFmtId="9" fontId="0" fillId="45" borderId="42" xfId="0" applyNumberFormat="1" applyFill="1" applyBorder="1"/>
    <xf numFmtId="0" fontId="0" fillId="40" borderId="43" xfId="0" applyFill="1" applyBorder="1"/>
    <xf numFmtId="0" fontId="0" fillId="40" borderId="42" xfId="0" applyFill="1" applyBorder="1"/>
    <xf numFmtId="0" fontId="42" fillId="0" borderId="15" xfId="0" applyFont="1" applyBorder="1"/>
    <xf numFmtId="10" fontId="0" fillId="61" borderId="15" xfId="0" applyNumberFormat="1" applyFill="1" applyBorder="1"/>
    <xf numFmtId="200" fontId="0" fillId="0" borderId="32" xfId="0" applyNumberFormat="1" applyBorder="1"/>
    <xf numFmtId="200" fontId="0" fillId="0" borderId="0" xfId="0" applyNumberFormat="1"/>
    <xf numFmtId="201" fontId="39" fillId="0" borderId="0" xfId="0" applyNumberFormat="1" applyFont="1"/>
    <xf numFmtId="201" fontId="39" fillId="0" borderId="15" xfId="0" applyNumberFormat="1" applyFont="1" applyBorder="1"/>
    <xf numFmtId="202" fontId="39" fillId="0" borderId="0" xfId="0" applyNumberFormat="1" applyFont="1"/>
    <xf numFmtId="169" fontId="39" fillId="0" borderId="0" xfId="0" applyNumberFormat="1" applyFont="1" applyAlignment="1">
      <alignment horizontal="right"/>
    </xf>
    <xf numFmtId="169" fontId="39" fillId="0" borderId="15" xfId="0" applyNumberFormat="1" applyFont="1" applyBorder="1" applyAlignment="1">
      <alignment horizontal="right"/>
    </xf>
    <xf numFmtId="0" fontId="0" fillId="0" borderId="24" xfId="0" applyBorder="1" applyAlignment="1">
      <alignment wrapText="1"/>
    </xf>
    <xf numFmtId="164" fontId="0" fillId="53" borderId="0" xfId="0" applyNumberFormat="1" applyFill="1" applyAlignment="1">
      <alignment horizontal="right"/>
    </xf>
    <xf numFmtId="0" fontId="3" fillId="0" borderId="13" xfId="0" applyFont="1" applyBorder="1"/>
    <xf numFmtId="0" fontId="0" fillId="0" borderId="13" xfId="0" applyBorder="1" applyAlignment="1">
      <alignment horizontal="right"/>
    </xf>
    <xf numFmtId="0" fontId="0" fillId="0" borderId="13" xfId="0" applyBorder="1"/>
    <xf numFmtId="164" fontId="0" fillId="0" borderId="13" xfId="0" applyNumberFormat="1" applyBorder="1" applyAlignment="1">
      <alignment horizontal="right"/>
    </xf>
    <xf numFmtId="164" fontId="65" fillId="0" borderId="13" xfId="0" applyNumberFormat="1" applyFont="1" applyBorder="1" applyAlignment="1">
      <alignment horizontal="right"/>
    </xf>
    <xf numFmtId="0" fontId="55" fillId="34" borderId="42" xfId="0" applyFont="1" applyFill="1" applyBorder="1" applyAlignment="1" applyProtection="1">
      <alignment horizontal="right"/>
      <protection locked="0"/>
    </xf>
    <xf numFmtId="164" fontId="39" fillId="34" borderId="21" xfId="0" applyNumberFormat="1" applyFont="1" applyFill="1" applyBorder="1" applyAlignment="1" applyProtection="1">
      <alignment horizontal="right"/>
      <protection locked="0"/>
    </xf>
    <xf numFmtId="0" fontId="0" fillId="34" borderId="43" xfId="0" applyFill="1" applyBorder="1" applyProtection="1">
      <protection locked="0"/>
    </xf>
    <xf numFmtId="0" fontId="3" fillId="0" borderId="45" xfId="0" applyFont="1" applyBorder="1"/>
    <xf numFmtId="0" fontId="3" fillId="0" borderId="39" xfId="0" applyFont="1" applyBorder="1"/>
    <xf numFmtId="0" fontId="0" fillId="0" borderId="39" xfId="0" applyBorder="1" applyAlignment="1">
      <alignment horizontal="right"/>
    </xf>
    <xf numFmtId="0" fontId="0" fillId="0" borderId="39" xfId="0" applyBorder="1"/>
    <xf numFmtId="164" fontId="0" fillId="0" borderId="39" xfId="0" applyNumberFormat="1" applyBorder="1" applyAlignment="1">
      <alignment horizontal="right"/>
    </xf>
    <xf numFmtId="164" fontId="65" fillId="0" borderId="39" xfId="0" applyNumberFormat="1" applyFont="1" applyBorder="1" applyAlignment="1">
      <alignment horizontal="right"/>
    </xf>
    <xf numFmtId="0" fontId="32" fillId="0" borderId="39" xfId="105" applyFill="1" applyBorder="1"/>
    <xf numFmtId="164" fontId="0" fillId="52" borderId="33" xfId="0" applyNumberFormat="1" applyFill="1" applyBorder="1"/>
    <xf numFmtId="164" fontId="0" fillId="52" borderId="0" xfId="0" applyNumberFormat="1" applyFill="1"/>
    <xf numFmtId="164" fontId="0" fillId="52" borderId="31" xfId="0" applyNumberFormat="1" applyFill="1" applyBorder="1"/>
    <xf numFmtId="164" fontId="0" fillId="52" borderId="32" xfId="0" applyNumberFormat="1" applyFill="1" applyBorder="1"/>
    <xf numFmtId="164" fontId="0" fillId="0" borderId="0" xfId="0" applyNumberFormat="1" applyAlignment="1">
      <alignment horizontal="right" vertical="center" wrapText="1"/>
    </xf>
    <xf numFmtId="169" fontId="44" fillId="0" borderId="15" xfId="0" applyNumberFormat="1" applyFont="1" applyBorder="1" applyAlignment="1">
      <alignment horizontal="right"/>
    </xf>
    <xf numFmtId="164" fontId="24" fillId="47" borderId="15" xfId="0" applyNumberFormat="1" applyFont="1" applyFill="1" applyBorder="1" applyAlignment="1">
      <alignment horizontal="right" vertical="center" wrapText="1"/>
    </xf>
    <xf numFmtId="164" fontId="30" fillId="42" borderId="15" xfId="0" applyNumberFormat="1" applyFont="1" applyFill="1" applyBorder="1" applyAlignment="1">
      <alignment horizontal="right"/>
    </xf>
    <xf numFmtId="0" fontId="24" fillId="40" borderId="41" xfId="0" applyFont="1" applyFill="1" applyBorder="1"/>
    <xf numFmtId="0" fontId="24" fillId="40" borderId="40" xfId="0" applyFont="1" applyFill="1" applyBorder="1"/>
    <xf numFmtId="0" fontId="24" fillId="0" borderId="40" xfId="0" applyFont="1" applyBorder="1"/>
    <xf numFmtId="164" fontId="3" fillId="47" borderId="0" xfId="0" applyNumberFormat="1" applyFont="1" applyFill="1" applyAlignment="1">
      <alignment horizontal="right"/>
    </xf>
    <xf numFmtId="164" fontId="3" fillId="53" borderId="0" xfId="0" applyNumberFormat="1" applyFont="1" applyFill="1" applyAlignment="1">
      <alignment horizontal="right"/>
    </xf>
    <xf numFmtId="208" fontId="0" fillId="0" borderId="0" xfId="0" applyNumberFormat="1"/>
    <xf numFmtId="164" fontId="24" fillId="47" borderId="0" xfId="0" applyNumberFormat="1" applyFont="1" applyFill="1" applyAlignment="1">
      <alignment horizontal="right" vertical="center" wrapText="1"/>
    </xf>
    <xf numFmtId="0" fontId="0" fillId="61" borderId="21" xfId="0" applyFill="1" applyBorder="1"/>
    <xf numFmtId="164" fontId="0" fillId="0" borderId="46" xfId="0" applyNumberFormat="1" applyBorder="1" applyAlignment="1">
      <alignment horizontal="right"/>
    </xf>
    <xf numFmtId="209" fontId="39" fillId="0" borderId="21" xfId="0" applyNumberFormat="1" applyFont="1" applyBorder="1"/>
    <xf numFmtId="0" fontId="8" fillId="0" borderId="33" xfId="0" applyFont="1" applyBorder="1" applyAlignment="1">
      <alignment horizontal="center"/>
    </xf>
    <xf numFmtId="0" fontId="0" fillId="35" borderId="43" xfId="0" applyFill="1" applyBorder="1"/>
    <xf numFmtId="0" fontId="0" fillId="35" borderId="42" xfId="0" applyFill="1" applyBorder="1"/>
    <xf numFmtId="0" fontId="3" fillId="0" borderId="23" xfId="0" applyFont="1" applyBorder="1"/>
    <xf numFmtId="164" fontId="24" fillId="35" borderId="31" xfId="0" applyNumberFormat="1" applyFont="1" applyFill="1" applyBorder="1" applyAlignment="1">
      <alignment horizontal="right"/>
    </xf>
    <xf numFmtId="164" fontId="55" fillId="35" borderId="32" xfId="0" applyNumberFormat="1" applyFont="1" applyFill="1" applyBorder="1" applyAlignment="1">
      <alignment horizontal="right"/>
    </xf>
    <xf numFmtId="164" fontId="24" fillId="35" borderId="31" xfId="0" applyNumberFormat="1" applyFont="1" applyFill="1" applyBorder="1"/>
    <xf numFmtId="164" fontId="24" fillId="35" borderId="35" xfId="0" applyNumberFormat="1" applyFont="1" applyFill="1" applyBorder="1"/>
    <xf numFmtId="164" fontId="55" fillId="35" borderId="0" xfId="0" applyNumberFormat="1" applyFont="1" applyFill="1" applyAlignment="1">
      <alignment horizontal="right"/>
    </xf>
    <xf numFmtId="164" fontId="24" fillId="35" borderId="33" xfId="0" applyNumberFormat="1" applyFont="1" applyFill="1" applyBorder="1"/>
    <xf numFmtId="164" fontId="24" fillId="35" borderId="23" xfId="0" applyNumberFormat="1" applyFont="1" applyFill="1" applyBorder="1"/>
    <xf numFmtId="0" fontId="3" fillId="0" borderId="16" xfId="0" applyFont="1" applyBorder="1" applyAlignment="1">
      <alignment horizontal="left"/>
    </xf>
    <xf numFmtId="1" fontId="39" fillId="50" borderId="33" xfId="0" applyNumberFormat="1" applyFont="1" applyFill="1" applyBorder="1"/>
    <xf numFmtId="164" fontId="39" fillId="62" borderId="0" xfId="86" applyNumberFormat="1" applyFont="1" applyFill="1" applyAlignment="1">
      <alignment horizontal="right"/>
    </xf>
    <xf numFmtId="0" fontId="3" fillId="36" borderId="47" xfId="0" applyFont="1" applyFill="1" applyBorder="1" applyAlignment="1">
      <alignment horizontal="center"/>
    </xf>
    <xf numFmtId="164" fontId="0" fillId="52" borderId="0" xfId="0" applyNumberFormat="1" applyFill="1" applyAlignment="1">
      <alignment horizontal="right" vertical="center"/>
    </xf>
    <xf numFmtId="184" fontId="0" fillId="0" borderId="15" xfId="0" applyNumberFormat="1" applyBorder="1" applyAlignment="1">
      <alignment horizontal="right"/>
    </xf>
    <xf numFmtId="164" fontId="39" fillId="0" borderId="15" xfId="0" applyNumberFormat="1" applyFont="1" applyBorder="1" applyAlignment="1">
      <alignment horizontal="right"/>
    </xf>
    <xf numFmtId="9" fontId="0" fillId="0" borderId="40" xfId="0" applyNumberFormat="1" applyBorder="1"/>
    <xf numFmtId="0" fontId="0" fillId="47" borderId="0" xfId="0" applyFill="1"/>
    <xf numFmtId="0" fontId="64" fillId="54" borderId="0" xfId="0" applyFont="1" applyFill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69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79" fillId="34" borderId="0" xfId="0" applyFont="1" applyFill="1" applyAlignment="1">
      <alignment horizontal="right" wrapText="1"/>
    </xf>
    <xf numFmtId="0" fontId="31" fillId="0" borderId="0" xfId="0" applyFont="1" applyAlignment="1">
      <alignment horizontal="center" wrapText="1"/>
    </xf>
    <xf numFmtId="0" fontId="31" fillId="42" borderId="0" xfId="0" applyFont="1" applyFill="1" applyAlignment="1">
      <alignment wrapText="1"/>
    </xf>
    <xf numFmtId="0" fontId="63" fillId="0" borderId="0" xfId="0" applyFont="1"/>
    <xf numFmtId="0" fontId="7" fillId="36" borderId="21" xfId="0" applyFont="1" applyFill="1" applyBorder="1" applyAlignment="1">
      <alignment horizontal="left"/>
    </xf>
    <xf numFmtId="0" fontId="36" fillId="36" borderId="21" xfId="0" applyFont="1" applyFill="1" applyBorder="1" applyAlignment="1">
      <alignment horizontal="left"/>
    </xf>
    <xf numFmtId="0" fontId="6" fillId="36" borderId="42" xfId="0" applyFont="1" applyFill="1" applyBorder="1"/>
    <xf numFmtId="0" fontId="36" fillId="36" borderId="21" xfId="0" applyFont="1" applyFill="1" applyBorder="1" applyAlignment="1">
      <alignment horizontal="right"/>
    </xf>
    <xf numFmtId="0" fontId="0" fillId="36" borderId="21" xfId="0" applyFill="1" applyBorder="1" applyAlignment="1">
      <alignment horizontal="center"/>
    </xf>
    <xf numFmtId="0" fontId="6" fillId="36" borderId="21" xfId="0" applyFont="1" applyFill="1" applyBorder="1"/>
    <xf numFmtId="0" fontId="0" fillId="36" borderId="21" xfId="0" applyFill="1" applyBorder="1"/>
    <xf numFmtId="0" fontId="3" fillId="42" borderId="21" xfId="0" applyFont="1" applyFill="1" applyBorder="1" applyAlignment="1">
      <alignment horizontal="center"/>
    </xf>
    <xf numFmtId="0" fontId="3" fillId="36" borderId="21" xfId="0" applyFont="1" applyFill="1" applyBorder="1" applyAlignment="1">
      <alignment horizontal="center"/>
    </xf>
    <xf numFmtId="0" fontId="0" fillId="36" borderId="43" xfId="0" applyFill="1" applyBorder="1" applyAlignment="1">
      <alignment horizontal="center"/>
    </xf>
    <xf numFmtId="0" fontId="0" fillId="42" borderId="21" xfId="0" applyFill="1" applyBorder="1" applyAlignment="1">
      <alignment horizontal="center"/>
    </xf>
    <xf numFmtId="0" fontId="3" fillId="36" borderId="43" xfId="0" applyFont="1" applyFill="1" applyBorder="1" applyAlignment="1">
      <alignment horizontal="center"/>
    </xf>
    <xf numFmtId="0" fontId="0" fillId="36" borderId="43" xfId="0" applyFill="1" applyBorder="1"/>
    <xf numFmtId="0" fontId="0" fillId="36" borderId="42" xfId="0" applyFill="1" applyBorder="1"/>
    <xf numFmtId="0" fontId="0" fillId="36" borderId="42" xfId="0" applyFill="1" applyBorder="1" applyAlignment="1">
      <alignment horizontal="center"/>
    </xf>
    <xf numFmtId="0" fontId="0" fillId="48" borderId="42" xfId="0" applyFill="1" applyBorder="1" applyAlignment="1">
      <alignment horizontal="center"/>
    </xf>
    <xf numFmtId="0" fontId="3" fillId="36" borderId="21" xfId="0" applyFont="1" applyFill="1" applyBorder="1"/>
    <xf numFmtId="164" fontId="39" fillId="34" borderId="0" xfId="0" applyNumberFormat="1" applyFont="1" applyFill="1" applyAlignment="1">
      <alignment horizontal="right"/>
    </xf>
    <xf numFmtId="0" fontId="39" fillId="40" borderId="0" xfId="0" applyFont="1" applyFill="1" applyAlignment="1">
      <alignment horizontal="right"/>
    </xf>
    <xf numFmtId="0" fontId="0" fillId="0" borderId="27" xfId="0" applyBorder="1"/>
    <xf numFmtId="0" fontId="0" fillId="50" borderId="25" xfId="0" applyFill="1" applyBorder="1"/>
    <xf numFmtId="9" fontId="0" fillId="34" borderId="25" xfId="0" applyNumberFormat="1" applyFill="1" applyBorder="1" applyProtection="1">
      <protection locked="0"/>
    </xf>
    <xf numFmtId="0" fontId="24" fillId="34" borderId="25" xfId="0" applyFont="1" applyFill="1" applyBorder="1" applyProtection="1">
      <protection locked="0"/>
    </xf>
    <xf numFmtId="0" fontId="24" fillId="0" borderId="25" xfId="0" applyFont="1" applyBorder="1" applyProtection="1">
      <protection locked="0"/>
    </xf>
    <xf numFmtId="198" fontId="44" fillId="38" borderId="32" xfId="0" applyNumberFormat="1" applyFont="1" applyFill="1" applyBorder="1"/>
    <xf numFmtId="198" fontId="44" fillId="38" borderId="0" xfId="0" applyNumberFormat="1" applyFont="1" applyFill="1"/>
    <xf numFmtId="164" fontId="0" fillId="0" borderId="30" xfId="0" applyNumberFormat="1" applyBorder="1" applyAlignment="1">
      <alignment horizontal="right"/>
    </xf>
    <xf numFmtId="164" fontId="0" fillId="47" borderId="28" xfId="0" applyNumberFormat="1" applyFill="1" applyBorder="1" applyAlignment="1">
      <alignment horizontal="right" vertical="center"/>
    </xf>
    <xf numFmtId="164" fontId="0" fillId="34" borderId="50" xfId="0" applyNumberFormat="1" applyFill="1" applyBorder="1" applyAlignment="1" applyProtection="1">
      <alignment horizontal="right"/>
      <protection locked="0"/>
    </xf>
    <xf numFmtId="0" fontId="32" fillId="64" borderId="0" xfId="105" applyFill="1" applyBorder="1"/>
    <xf numFmtId="0" fontId="0" fillId="64" borderId="0" xfId="0" applyFill="1"/>
    <xf numFmtId="0" fontId="0" fillId="63" borderId="11" xfId="0" applyFill="1" applyBorder="1"/>
    <xf numFmtId="0" fontId="44" fillId="56" borderId="11" xfId="0" applyFont="1" applyFill="1" applyBorder="1"/>
    <xf numFmtId="164" fontId="24" fillId="40" borderId="25" xfId="0" applyNumberFormat="1" applyFont="1" applyFill="1" applyBorder="1" applyAlignment="1">
      <alignment horizontal="right"/>
    </xf>
    <xf numFmtId="164" fontId="0" fillId="40" borderId="21" xfId="0" applyNumberFormat="1" applyFill="1" applyBorder="1" applyAlignment="1">
      <alignment horizontal="right"/>
    </xf>
    <xf numFmtId="164" fontId="0" fillId="40" borderId="43" xfId="0" applyNumberFormat="1" applyFill="1" applyBorder="1" applyAlignment="1">
      <alignment horizontal="right"/>
    </xf>
    <xf numFmtId="0" fontId="0" fillId="0" borderId="51" xfId="0" applyBorder="1" applyAlignment="1">
      <alignment horizontal="right"/>
    </xf>
    <xf numFmtId="198" fontId="39" fillId="0" borderId="51" xfId="0" applyNumberFormat="1" applyFont="1" applyBorder="1"/>
    <xf numFmtId="209" fontId="39" fillId="0" borderId="15" xfId="0" applyNumberFormat="1" applyFont="1" applyBorder="1"/>
    <xf numFmtId="0" fontId="32" fillId="0" borderId="16" xfId="106" applyBorder="1"/>
    <xf numFmtId="209" fontId="39" fillId="0" borderId="0" xfId="0" applyNumberFormat="1" applyFont="1"/>
    <xf numFmtId="0" fontId="32" fillId="0" borderId="12" xfId="105" applyFill="1" applyBorder="1"/>
    <xf numFmtId="0" fontId="32" fillId="34" borderId="22" xfId="105" applyFill="1" applyBorder="1" applyProtection="1">
      <protection locked="0"/>
    </xf>
    <xf numFmtId="164" fontId="0" fillId="40" borderId="0" xfId="0" applyNumberFormat="1" applyFill="1" applyAlignment="1">
      <alignment horizontal="right" vertical="center" wrapText="1"/>
    </xf>
    <xf numFmtId="164" fontId="39" fillId="40" borderId="0" xfId="0" applyNumberFormat="1" applyFont="1" applyFill="1" applyAlignment="1">
      <alignment horizontal="right" vertical="center" wrapText="1"/>
    </xf>
    <xf numFmtId="207" fontId="0" fillId="0" borderId="0" xfId="0" applyNumberFormat="1"/>
    <xf numFmtId="164" fontId="24" fillId="40" borderId="41" xfId="0" applyNumberFormat="1" applyFont="1" applyFill="1" applyBorder="1" applyAlignment="1">
      <alignment horizontal="right"/>
    </xf>
    <xf numFmtId="164" fontId="24" fillId="40" borderId="33" xfId="0" applyNumberFormat="1" applyFont="1" applyFill="1" applyBorder="1" applyAlignment="1">
      <alignment horizontal="right"/>
    </xf>
    <xf numFmtId="0" fontId="44" fillId="63" borderId="11" xfId="0" applyFont="1" applyFill="1" applyBorder="1"/>
    <xf numFmtId="0" fontId="24" fillId="56" borderId="11" xfId="0" applyFont="1" applyFill="1" applyBorder="1"/>
    <xf numFmtId="0" fontId="42" fillId="56" borderId="11" xfId="0" applyFont="1" applyFill="1" applyBorder="1"/>
    <xf numFmtId="0" fontId="0" fillId="47" borderId="18" xfId="0" applyFill="1" applyBorder="1" applyAlignment="1">
      <alignment vertical="top" wrapText="1"/>
    </xf>
    <xf numFmtId="0" fontId="0" fillId="47" borderId="19" xfId="0" applyFill="1" applyBorder="1" applyAlignment="1">
      <alignment vertical="top" wrapText="1"/>
    </xf>
    <xf numFmtId="164" fontId="39" fillId="40" borderId="0" xfId="86" applyNumberFormat="1" applyFont="1" applyFill="1" applyAlignment="1">
      <alignment horizontal="right"/>
    </xf>
    <xf numFmtId="9" fontId="39" fillId="35" borderId="0" xfId="103" applyFont="1" applyFill="1" applyAlignment="1">
      <alignment horizontal="right" vertical="center"/>
    </xf>
    <xf numFmtId="9" fontId="39" fillId="35" borderId="23" xfId="103" applyFont="1" applyFill="1" applyBorder="1" applyAlignment="1">
      <alignment horizontal="right" vertical="center"/>
    </xf>
    <xf numFmtId="164" fontId="39" fillId="35" borderId="23" xfId="0" applyNumberFormat="1" applyFont="1" applyFill="1" applyBorder="1" applyAlignment="1">
      <alignment horizontal="right" vertical="center"/>
    </xf>
    <xf numFmtId="164" fontId="39" fillId="47" borderId="0" xfId="0" applyNumberFormat="1" applyFont="1" applyFill="1" applyAlignment="1">
      <alignment horizontal="right" vertical="center" wrapText="1"/>
    </xf>
    <xf numFmtId="164" fontId="0" fillId="42" borderId="28" xfId="0" applyNumberFormat="1" applyFill="1" applyBorder="1" applyAlignment="1">
      <alignment horizontal="right"/>
    </xf>
    <xf numFmtId="164" fontId="0" fillId="40" borderId="31" xfId="0" applyNumberFormat="1" applyFill="1" applyBorder="1" applyAlignment="1">
      <alignment horizontal="right"/>
    </xf>
    <xf numFmtId="0" fontId="0" fillId="57" borderId="0" xfId="0" applyFill="1"/>
    <xf numFmtId="164" fontId="8" fillId="58" borderId="15" xfId="0" applyNumberFormat="1" applyFont="1" applyFill="1" applyBorder="1" applyAlignment="1">
      <alignment horizontal="right" vertical="center" wrapText="1"/>
    </xf>
    <xf numFmtId="164" fontId="8" fillId="58" borderId="0" xfId="0" applyNumberFormat="1" applyFont="1" applyFill="1" applyAlignment="1">
      <alignment horizontal="right" vertical="center" wrapText="1"/>
    </xf>
    <xf numFmtId="164" fontId="8" fillId="58" borderId="0" xfId="0" applyNumberFormat="1" applyFont="1" applyFill="1" applyAlignment="1">
      <alignment horizontal="right"/>
    </xf>
    <xf numFmtId="0" fontId="0" fillId="57" borderId="15" xfId="0" applyFill="1" applyBorder="1"/>
    <xf numFmtId="164" fontId="66" fillId="55" borderId="33" xfId="0" applyNumberFormat="1" applyFont="1" applyFill="1" applyBorder="1" applyAlignment="1">
      <alignment horizontal="right"/>
    </xf>
    <xf numFmtId="164" fontId="66" fillId="55" borderId="26" xfId="0" applyNumberFormat="1" applyFont="1" applyFill="1" applyBorder="1" applyAlignment="1">
      <alignment horizontal="right"/>
    </xf>
    <xf numFmtId="9" fontId="0" fillId="0" borderId="33" xfId="103" applyFont="1" applyFill="1" applyBorder="1"/>
    <xf numFmtId="9" fontId="0" fillId="0" borderId="23" xfId="103" applyFont="1" applyFill="1" applyBorder="1"/>
    <xf numFmtId="0" fontId="39" fillId="0" borderId="27" xfId="0" applyFont="1" applyBorder="1"/>
    <xf numFmtId="0" fontId="44" fillId="0" borderId="11" xfId="0" applyFont="1" applyBorder="1"/>
    <xf numFmtId="0" fontId="38" fillId="0" borderId="37" xfId="0" applyFont="1" applyBorder="1" applyAlignment="1">
      <alignment horizontal="right"/>
    </xf>
    <xf numFmtId="0" fontId="38" fillId="0" borderId="11" xfId="0" applyFont="1" applyBorder="1" applyAlignment="1">
      <alignment horizontal="right"/>
    </xf>
    <xf numFmtId="0" fontId="38" fillId="0" borderId="27" xfId="0" applyFont="1" applyBorder="1" applyAlignment="1">
      <alignment horizontal="right"/>
    </xf>
    <xf numFmtId="0" fontId="37" fillId="0" borderId="27" xfId="0" applyFont="1" applyBorder="1"/>
    <xf numFmtId="0" fontId="39" fillId="0" borderId="11" xfId="0" applyFont="1" applyBorder="1" applyAlignment="1">
      <alignment horizontal="right"/>
    </xf>
    <xf numFmtId="0" fontId="39" fillId="0" borderId="37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0" fontId="67" fillId="0" borderId="11" xfId="0" applyFont="1" applyBorder="1" applyAlignment="1">
      <alignment horizontal="right"/>
    </xf>
    <xf numFmtId="0" fontId="58" fillId="0" borderId="0" xfId="105" applyFont="1" applyFill="1" applyBorder="1"/>
    <xf numFmtId="198" fontId="0" fillId="0" borderId="35" xfId="0" applyNumberFormat="1" applyBorder="1"/>
    <xf numFmtId="0" fontId="0" fillId="0" borderId="31" xfId="0" applyBorder="1" applyAlignment="1">
      <alignment horizontal="right"/>
    </xf>
    <xf numFmtId="164" fontId="0" fillId="40" borderId="32" xfId="0" applyNumberFormat="1" applyFill="1" applyBorder="1" applyAlignment="1">
      <alignment horizontal="right" vertical="center"/>
    </xf>
    <xf numFmtId="164" fontId="0" fillId="40" borderId="35" xfId="0" applyNumberFormat="1" applyFill="1" applyBorder="1" applyAlignment="1">
      <alignment horizontal="right"/>
    </xf>
    <xf numFmtId="164" fontId="0" fillId="40" borderId="30" xfId="0" applyNumberFormat="1" applyFill="1" applyBorder="1" applyAlignment="1">
      <alignment horizontal="right"/>
    </xf>
    <xf numFmtId="0" fontId="0" fillId="40" borderId="30" xfId="0" applyFill="1" applyBorder="1"/>
    <xf numFmtId="0" fontId="55" fillId="0" borderId="11" xfId="0" applyFont="1" applyBorder="1"/>
    <xf numFmtId="0" fontId="0" fillId="0" borderId="1" xfId="0" applyBorder="1"/>
    <xf numFmtId="0" fontId="0" fillId="40" borderId="17" xfId="0" applyFill="1" applyBorder="1"/>
    <xf numFmtId="0" fontId="0" fillId="35" borderId="18" xfId="0" applyFill="1" applyBorder="1"/>
    <xf numFmtId="0" fontId="0" fillId="47" borderId="18" xfId="0" applyFill="1" applyBorder="1"/>
    <xf numFmtId="164" fontId="39" fillId="62" borderId="18" xfId="86" applyNumberFormat="1" applyFont="1" applyFill="1" applyBorder="1"/>
    <xf numFmtId="0" fontId="0" fillId="45" borderId="18" xfId="0" applyFill="1" applyBorder="1"/>
    <xf numFmtId="2" fontId="0" fillId="59" borderId="18" xfId="0" applyNumberFormat="1" applyFill="1" applyBorder="1"/>
    <xf numFmtId="0" fontId="4" fillId="51" borderId="18" xfId="0" applyFont="1" applyFill="1" applyBorder="1"/>
    <xf numFmtId="0" fontId="4" fillId="49" borderId="18" xfId="0" applyFont="1" applyFill="1" applyBorder="1"/>
    <xf numFmtId="0" fontId="0" fillId="35" borderId="12" xfId="0" applyFill="1" applyBorder="1"/>
    <xf numFmtId="0" fontId="0" fillId="51" borderId="12" xfId="0" applyFill="1" applyBorder="1"/>
    <xf numFmtId="0" fontId="0" fillId="47" borderId="12" xfId="0" applyFill="1" applyBorder="1"/>
    <xf numFmtId="164" fontId="39" fillId="62" borderId="12" xfId="86" applyNumberFormat="1" applyFont="1" applyFill="1" applyBorder="1" applyAlignment="1">
      <alignment horizontal="right"/>
    </xf>
    <xf numFmtId="0" fontId="0" fillId="49" borderId="12" xfId="0" applyFill="1" applyBorder="1"/>
    <xf numFmtId="0" fontId="0" fillId="45" borderId="12" xfId="0" applyFill="1" applyBorder="1"/>
    <xf numFmtId="2" fontId="0" fillId="59" borderId="12" xfId="0" applyNumberFormat="1" applyFill="1" applyBorder="1" applyAlignment="1">
      <alignment horizontal="center"/>
    </xf>
    <xf numFmtId="0" fontId="0" fillId="34" borderId="22" xfId="0" applyFill="1" applyBorder="1"/>
    <xf numFmtId="0" fontId="0" fillId="40" borderId="16" xfId="0" applyFill="1" applyBorder="1"/>
    <xf numFmtId="0" fontId="0" fillId="34" borderId="19" xfId="0" applyFill="1" applyBorder="1"/>
    <xf numFmtId="0" fontId="0" fillId="58" borderId="17" xfId="0" applyFill="1" applyBorder="1"/>
    <xf numFmtId="0" fontId="0" fillId="58" borderId="18" xfId="0" applyFill="1" applyBorder="1"/>
    <xf numFmtId="164" fontId="39" fillId="58" borderId="18" xfId="86" applyNumberFormat="1" applyFont="1" applyFill="1" applyBorder="1"/>
    <xf numFmtId="2" fontId="0" fillId="58" borderId="18" xfId="0" applyNumberFormat="1" applyFill="1" applyBorder="1"/>
    <xf numFmtId="0" fontId="0" fillId="58" borderId="19" xfId="0" applyFill="1" applyBorder="1"/>
    <xf numFmtId="164" fontId="0" fillId="35" borderId="33" xfId="0" applyNumberFormat="1" applyFill="1" applyBorder="1" applyAlignment="1">
      <alignment horizontal="center"/>
    </xf>
    <xf numFmtId="164" fontId="0" fillId="35" borderId="0" xfId="0" applyNumberFormat="1" applyFill="1" applyAlignment="1">
      <alignment horizontal="center"/>
    </xf>
    <xf numFmtId="164" fontId="0" fillId="35" borderId="28" xfId="0" applyNumberFormat="1" applyFill="1" applyBorder="1" applyAlignment="1">
      <alignment horizontal="center"/>
    </xf>
    <xf numFmtId="164" fontId="0" fillId="35" borderId="43" xfId="0" applyNumberFormat="1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164" fontId="0" fillId="35" borderId="50" xfId="0" applyNumberFormat="1" applyFill="1" applyBorder="1" applyAlignment="1">
      <alignment horizontal="center"/>
    </xf>
    <xf numFmtId="0" fontId="63" fillId="0" borderId="25" xfId="0" applyFont="1" applyBorder="1" applyAlignment="1">
      <alignment horizontal="left"/>
    </xf>
    <xf numFmtId="0" fontId="63" fillId="0" borderId="34" xfId="0" applyFont="1" applyBorder="1" applyAlignment="1">
      <alignment horizontal="center"/>
    </xf>
    <xf numFmtId="0" fontId="63" fillId="0" borderId="25" xfId="0" applyFont="1" applyBorder="1" applyAlignment="1">
      <alignment horizontal="center"/>
    </xf>
    <xf numFmtId="0" fontId="63" fillId="0" borderId="29" xfId="0" applyFont="1" applyBorder="1" applyAlignment="1">
      <alignment horizontal="center"/>
    </xf>
    <xf numFmtId="164" fontId="0" fillId="52" borderId="0" xfId="0" applyNumberFormat="1" applyFill="1" applyAlignment="1">
      <alignment horizontal="right"/>
    </xf>
    <xf numFmtId="0" fontId="64" fillId="37" borderId="25" xfId="0" applyFont="1" applyFill="1" applyBorder="1" applyAlignment="1">
      <alignment horizontal="center" vertical="center" wrapText="1"/>
    </xf>
    <xf numFmtId="0" fontId="64" fillId="37" borderId="29" xfId="0" applyFont="1" applyFill="1" applyBorder="1" applyAlignment="1">
      <alignment horizontal="center" vertical="center" wrapText="1"/>
    </xf>
    <xf numFmtId="0" fontId="64" fillId="37" borderId="34" xfId="0" applyFont="1" applyFill="1" applyBorder="1" applyAlignment="1">
      <alignment horizontal="center" vertical="center" wrapText="1"/>
    </xf>
    <xf numFmtId="164" fontId="24" fillId="52" borderId="33" xfId="0" applyNumberFormat="1" applyFont="1" applyFill="1" applyBorder="1" applyAlignment="1">
      <alignment horizontal="right"/>
    </xf>
    <xf numFmtId="164" fontId="24" fillId="52" borderId="0" xfId="0" applyNumberFormat="1" applyFont="1" applyFill="1" applyAlignment="1">
      <alignment horizontal="right"/>
    </xf>
    <xf numFmtId="164" fontId="0" fillId="35" borderId="47" xfId="0" applyNumberFormat="1" applyFill="1" applyBorder="1" applyAlignment="1">
      <alignment horizontal="center"/>
    </xf>
    <xf numFmtId="164" fontId="0" fillId="35" borderId="48" xfId="0" applyNumberFormat="1" applyFill="1" applyBorder="1" applyAlignment="1">
      <alignment horizontal="center"/>
    </xf>
    <xf numFmtId="164" fontId="0" fillId="35" borderId="49" xfId="0" applyNumberFormat="1" applyFill="1" applyBorder="1" applyAlignment="1">
      <alignment horizontal="center"/>
    </xf>
    <xf numFmtId="0" fontId="32" fillId="0" borderId="0" xfId="106" applyAlignment="1">
      <alignment horizontal="left" wrapText="1"/>
    </xf>
    <xf numFmtId="0" fontId="32" fillId="0" borderId="0" xfId="106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40" borderId="33" xfId="0" applyNumberFormat="1" applyFill="1" applyBorder="1" applyAlignment="1">
      <alignment horizontal="right"/>
    </xf>
    <xf numFmtId="164" fontId="0" fillId="40" borderId="0" xfId="0" applyNumberFormat="1" applyFill="1" applyAlignment="1">
      <alignment horizontal="right"/>
    </xf>
    <xf numFmtId="164" fontId="0" fillId="40" borderId="28" xfId="0" applyNumberFormat="1" applyFill="1" applyBorder="1" applyAlignment="1">
      <alignment horizontal="right"/>
    </xf>
    <xf numFmtId="0" fontId="9" fillId="0" borderId="25" xfId="0" applyFont="1" applyBorder="1" applyAlignment="1">
      <alignment horizontal="center"/>
    </xf>
  </cellXfs>
  <cellStyles count="107">
    <cellStyle name="20 % - Akzent1 2" xfId="1" xr:uid="{00000000-0005-0000-0000-000000000000}"/>
    <cellStyle name="20 % - Akzent1 3" xfId="2" xr:uid="{00000000-0005-0000-0000-000001000000}"/>
    <cellStyle name="20 % - Akzent2 2" xfId="3" xr:uid="{00000000-0005-0000-0000-000002000000}"/>
    <cellStyle name="20 % - Akzent2 3" xfId="4" xr:uid="{00000000-0005-0000-0000-000003000000}"/>
    <cellStyle name="20 % - Akzent3 2" xfId="5" xr:uid="{00000000-0005-0000-0000-000004000000}"/>
    <cellStyle name="20 % - Akzent3 3" xfId="6" xr:uid="{00000000-0005-0000-0000-000005000000}"/>
    <cellStyle name="20 % - Akzent4 2" xfId="7" xr:uid="{00000000-0005-0000-0000-000006000000}"/>
    <cellStyle name="20 % - Akzent4 3" xfId="8" xr:uid="{00000000-0005-0000-0000-000007000000}"/>
    <cellStyle name="20 % - Akzent5 2" xfId="9" xr:uid="{00000000-0005-0000-0000-000008000000}"/>
    <cellStyle name="20 % - Akzent5 3" xfId="10" xr:uid="{00000000-0005-0000-0000-000009000000}"/>
    <cellStyle name="20 % - Akzent6 2" xfId="11" xr:uid="{00000000-0005-0000-0000-00000A000000}"/>
    <cellStyle name="20 % - Akzent6 3" xfId="12" xr:uid="{00000000-0005-0000-0000-00000B000000}"/>
    <cellStyle name="40 % - Akzent1 2" xfId="13" xr:uid="{00000000-0005-0000-0000-00000C000000}"/>
    <cellStyle name="40 % - Akzent1 3" xfId="14" xr:uid="{00000000-0005-0000-0000-00000D000000}"/>
    <cellStyle name="40 % - Akzent2 2" xfId="15" xr:uid="{00000000-0005-0000-0000-00000E000000}"/>
    <cellStyle name="40 % - Akzent2 3" xfId="16" xr:uid="{00000000-0005-0000-0000-00000F000000}"/>
    <cellStyle name="40 % - Akzent3 2" xfId="17" xr:uid="{00000000-0005-0000-0000-000010000000}"/>
    <cellStyle name="40 % - Akzent3 3" xfId="18" xr:uid="{00000000-0005-0000-0000-000011000000}"/>
    <cellStyle name="40 % - Akzent4 2" xfId="19" xr:uid="{00000000-0005-0000-0000-000012000000}"/>
    <cellStyle name="40 % - Akzent4 3" xfId="20" xr:uid="{00000000-0005-0000-0000-000013000000}"/>
    <cellStyle name="40 % - Akzent5 2" xfId="21" xr:uid="{00000000-0005-0000-0000-000014000000}"/>
    <cellStyle name="40 % - Akzent5 3" xfId="22" xr:uid="{00000000-0005-0000-0000-000015000000}"/>
    <cellStyle name="40 % - Akzent6 2" xfId="23" xr:uid="{00000000-0005-0000-0000-000016000000}"/>
    <cellStyle name="40 % - Akzent6 3" xfId="24" xr:uid="{00000000-0005-0000-0000-000017000000}"/>
    <cellStyle name="60 % - Akzent1 2" xfId="25" xr:uid="{00000000-0005-0000-0000-000018000000}"/>
    <cellStyle name="60 % - Akzent1 3" xfId="26" xr:uid="{00000000-0005-0000-0000-000019000000}"/>
    <cellStyle name="60 % - Akzent2 2" xfId="27" xr:uid="{00000000-0005-0000-0000-00001A000000}"/>
    <cellStyle name="60 % - Akzent2 3" xfId="28" xr:uid="{00000000-0005-0000-0000-00001B000000}"/>
    <cellStyle name="60 % - Akzent3 2" xfId="29" xr:uid="{00000000-0005-0000-0000-00001C000000}"/>
    <cellStyle name="60 % - Akzent3 3" xfId="30" xr:uid="{00000000-0005-0000-0000-00001D000000}"/>
    <cellStyle name="60 % - Akzent4 2" xfId="31" xr:uid="{00000000-0005-0000-0000-00001E000000}"/>
    <cellStyle name="60 % - Akzent4 3" xfId="32" xr:uid="{00000000-0005-0000-0000-00001F000000}"/>
    <cellStyle name="60 % - Akzent5 2" xfId="33" xr:uid="{00000000-0005-0000-0000-000020000000}"/>
    <cellStyle name="60 % - Akzent5 3" xfId="34" xr:uid="{00000000-0005-0000-0000-000021000000}"/>
    <cellStyle name="60 % - Akzent6 2" xfId="35" xr:uid="{00000000-0005-0000-0000-000022000000}"/>
    <cellStyle name="60 % - Akzent6 3" xfId="36" xr:uid="{00000000-0005-0000-0000-000023000000}"/>
    <cellStyle name="Akzent1 2" xfId="37" xr:uid="{00000000-0005-0000-0000-000024000000}"/>
    <cellStyle name="Akzent1 3" xfId="38" xr:uid="{00000000-0005-0000-0000-000025000000}"/>
    <cellStyle name="Akzent2 2" xfId="39" xr:uid="{00000000-0005-0000-0000-000026000000}"/>
    <cellStyle name="Akzent2 3" xfId="40" xr:uid="{00000000-0005-0000-0000-000027000000}"/>
    <cellStyle name="Akzent3 2" xfId="41" xr:uid="{00000000-0005-0000-0000-000028000000}"/>
    <cellStyle name="Akzent3 3" xfId="42" xr:uid="{00000000-0005-0000-0000-000029000000}"/>
    <cellStyle name="Akzent4 2" xfId="43" xr:uid="{00000000-0005-0000-0000-00002A000000}"/>
    <cellStyle name="Akzent4 3" xfId="44" xr:uid="{00000000-0005-0000-0000-00002B000000}"/>
    <cellStyle name="Akzent5 2" xfId="45" xr:uid="{00000000-0005-0000-0000-00002C000000}"/>
    <cellStyle name="Akzent5 3" xfId="46" xr:uid="{00000000-0005-0000-0000-00002D000000}"/>
    <cellStyle name="Akzent6 2" xfId="47" xr:uid="{00000000-0005-0000-0000-00002E000000}"/>
    <cellStyle name="Akzent6 3" xfId="48" xr:uid="{00000000-0005-0000-0000-00002F000000}"/>
    <cellStyle name="Ausgabe 2" xfId="49" xr:uid="{00000000-0005-0000-0000-000030000000}"/>
    <cellStyle name="Ausgabe 3" xfId="50" xr:uid="{00000000-0005-0000-0000-000031000000}"/>
    <cellStyle name="Berechnung 2" xfId="51" xr:uid="{00000000-0005-0000-0000-000032000000}"/>
    <cellStyle name="Berechnung 3" xfId="52" xr:uid="{00000000-0005-0000-0000-000033000000}"/>
    <cellStyle name="Eingabe 2" xfId="53" xr:uid="{00000000-0005-0000-0000-000035000000}"/>
    <cellStyle name="Eingabe 3" xfId="54" xr:uid="{00000000-0005-0000-0000-000036000000}"/>
    <cellStyle name="Ergebnis 2" xfId="55" xr:uid="{00000000-0005-0000-0000-000037000000}"/>
    <cellStyle name="Ergebnis 3" xfId="56" xr:uid="{00000000-0005-0000-0000-000038000000}"/>
    <cellStyle name="Erklärender Text 2" xfId="57" xr:uid="{00000000-0005-0000-0000-000039000000}"/>
    <cellStyle name="Erklärender Text 3" xfId="58" xr:uid="{00000000-0005-0000-0000-00003A000000}"/>
    <cellStyle name="Gut 2" xfId="59" xr:uid="{00000000-0005-0000-0000-00003B000000}"/>
    <cellStyle name="Gut 3" xfId="60" xr:uid="{00000000-0005-0000-0000-00003C000000}"/>
    <cellStyle name="Gut 4" xfId="61" xr:uid="{00000000-0005-0000-0000-00003D000000}"/>
    <cellStyle name="Hyperlink" xfId="105" xr:uid="{00000000-0005-0000-0000-00003E000000}"/>
    <cellStyle name="Komma 2" xfId="62" xr:uid="{00000000-0005-0000-0000-00003F000000}"/>
    <cellStyle name="Komma 2 2" xfId="104" xr:uid="{5D660BFF-8BBA-4019-8826-81590A2FF78E}"/>
    <cellStyle name="Link" xfId="106" builtinId="8"/>
    <cellStyle name="Neutral 2" xfId="63" xr:uid="{00000000-0005-0000-0000-000040000000}"/>
    <cellStyle name="Neutral 3" xfId="64" xr:uid="{00000000-0005-0000-0000-000041000000}"/>
    <cellStyle name="Normal 2" xfId="65" xr:uid="{00000000-0005-0000-0000-000042000000}"/>
    <cellStyle name="Notiz 2" xfId="66" xr:uid="{00000000-0005-0000-0000-000043000000}"/>
    <cellStyle name="Notiz 3" xfId="67" xr:uid="{00000000-0005-0000-0000-000044000000}"/>
    <cellStyle name="Prozent" xfId="103" builtinId="5"/>
    <cellStyle name="Prozent 2" xfId="68" xr:uid="{00000000-0005-0000-0000-000046000000}"/>
    <cellStyle name="Prozent 2 2" xfId="69" xr:uid="{00000000-0005-0000-0000-000047000000}"/>
    <cellStyle name="Prozent 2 3" xfId="70" xr:uid="{00000000-0005-0000-0000-000048000000}"/>
    <cellStyle name="Prozent 3" xfId="71" xr:uid="{00000000-0005-0000-0000-000049000000}"/>
    <cellStyle name="Prozent 4" xfId="72" xr:uid="{00000000-0005-0000-0000-00004A000000}"/>
    <cellStyle name="Prozent 5" xfId="73" xr:uid="{00000000-0005-0000-0000-00004B000000}"/>
    <cellStyle name="Schlecht 2" xfId="74" xr:uid="{00000000-0005-0000-0000-00004C000000}"/>
    <cellStyle name="Schlecht 3" xfId="75" xr:uid="{00000000-0005-0000-0000-00004D000000}"/>
    <cellStyle name="Standard" xfId="0" builtinId="0"/>
    <cellStyle name="Standard 2" xfId="76" xr:uid="{00000000-0005-0000-0000-00004F000000}"/>
    <cellStyle name="Standard 2 2" xfId="77" xr:uid="{00000000-0005-0000-0000-000050000000}"/>
    <cellStyle name="Standard 2 3" xfId="78" xr:uid="{00000000-0005-0000-0000-000051000000}"/>
    <cellStyle name="Standard 2 4" xfId="79" xr:uid="{00000000-0005-0000-0000-000052000000}"/>
    <cellStyle name="Standard 2 5" xfId="80" xr:uid="{00000000-0005-0000-0000-000053000000}"/>
    <cellStyle name="Standard 3" xfId="81" xr:uid="{00000000-0005-0000-0000-000054000000}"/>
    <cellStyle name="Standard 4" xfId="82" xr:uid="{00000000-0005-0000-0000-000055000000}"/>
    <cellStyle name="Standard 4 2" xfId="83" xr:uid="{00000000-0005-0000-0000-000056000000}"/>
    <cellStyle name="Standard 5" xfId="84" xr:uid="{00000000-0005-0000-0000-000057000000}"/>
    <cellStyle name="Standard 6" xfId="85" xr:uid="{00000000-0005-0000-0000-000058000000}"/>
    <cellStyle name="Standard 7" xfId="86" xr:uid="{00000000-0005-0000-0000-000059000000}"/>
    <cellStyle name="Standard 8" xfId="87" xr:uid="{00000000-0005-0000-0000-00005A000000}"/>
    <cellStyle name="Standard 9" xfId="88" xr:uid="{00000000-0005-0000-0000-00005B000000}"/>
    <cellStyle name="Überschrift 1 2" xfId="89" xr:uid="{00000000-0005-0000-0000-00005C000000}"/>
    <cellStyle name="Überschrift 1 3" xfId="90" xr:uid="{00000000-0005-0000-0000-00005D000000}"/>
    <cellStyle name="Überschrift 2 2" xfId="91" xr:uid="{00000000-0005-0000-0000-00005E000000}"/>
    <cellStyle name="Überschrift 2 3" xfId="92" xr:uid="{00000000-0005-0000-0000-00005F000000}"/>
    <cellStyle name="Überschrift 3 2" xfId="93" xr:uid="{00000000-0005-0000-0000-000060000000}"/>
    <cellStyle name="Überschrift 3 3" xfId="94" xr:uid="{00000000-0005-0000-0000-000061000000}"/>
    <cellStyle name="Überschrift 4 2" xfId="95" xr:uid="{00000000-0005-0000-0000-000062000000}"/>
    <cellStyle name="Überschrift 4 3" xfId="96" xr:uid="{00000000-0005-0000-0000-000063000000}"/>
    <cellStyle name="Verknüpfte Zelle 2" xfId="97" xr:uid="{00000000-0005-0000-0000-000064000000}"/>
    <cellStyle name="Verknüpfte Zelle 3" xfId="98" xr:uid="{00000000-0005-0000-0000-000065000000}"/>
    <cellStyle name="Warnender Text 2" xfId="99" xr:uid="{00000000-0005-0000-0000-000066000000}"/>
    <cellStyle name="Warnender Text 3" xfId="100" xr:uid="{00000000-0005-0000-0000-000067000000}"/>
    <cellStyle name="Zelle überprüfen 2" xfId="101" xr:uid="{00000000-0005-0000-0000-000068000000}"/>
    <cellStyle name="Zelle überprüfen 3" xfId="102" xr:uid="{00000000-0005-0000-0000-000069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62D8"/>
      <color rgb="FFFDD1F4"/>
      <color rgb="FFCCFFCC"/>
      <color rgb="FFFF7C80"/>
      <color rgb="FFFFFF99"/>
      <color rgb="FFFFFF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2607467</xdr:colOff>
      <xdr:row>379</xdr:row>
      <xdr:rowOff>71437</xdr:rowOff>
    </xdr:from>
    <xdr:to>
      <xdr:col>7</xdr:col>
      <xdr:colOff>11906</xdr:colOff>
      <xdr:row>397</xdr:row>
      <xdr:rowOff>81862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7467" y="68210906"/>
          <a:ext cx="6226970" cy="3475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4</xdr:row>
      <xdr:rowOff>0</xdr:rowOff>
    </xdr:from>
    <xdr:ext cx="2487083" cy="71966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8372667" y="571500"/>
          <a:ext cx="2487083" cy="7196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AT" sz="1100"/>
            <a:t>ausschließlich</a:t>
          </a:r>
          <a:r>
            <a:rPr lang="de-AT" sz="1100" baseline="0"/>
            <a:t> Sekundärmaterialien</a:t>
          </a:r>
        </a:p>
        <a:p>
          <a:r>
            <a:rPr lang="de-AT" sz="1100" baseline="0"/>
            <a:t>bzw. bei Verbrennung -&gt; </a:t>
          </a:r>
        </a:p>
        <a:p>
          <a:r>
            <a:rPr lang="de-AT" sz="1100" baseline="0"/>
            <a:t>Ersatz von erneuerbaren Energieträgern</a:t>
          </a:r>
          <a:endParaRPr lang="de-A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ekobaudat.de/OEKOBAU.DAT/resource/sources/11b6f292-d761-4491-910f-84f4d16b9f02/EPD-Anhang_Kronimus_BS_Edelsplitt.pdf?version=00.01.000" TargetMode="External"/><Relationship Id="rId18" Type="http://schemas.openxmlformats.org/officeDocument/2006/relationships/hyperlink" Target="https://oekobaudat.de/OEKOBAU.DAT/datasetdetail/process.xhtml?uuid=24d554b6-a720-45a3-b80d-17a46e612f26&amp;version=20.21.060&amp;stock=OBD_2021_II&amp;lang=de" TargetMode="External"/><Relationship Id="rId26" Type="http://schemas.openxmlformats.org/officeDocument/2006/relationships/hyperlink" Target="https://constructalia.arcelormittal.com/files/XCarb%20Recycled%20and%20renewably%20produced%20Reinforcing%20steel%20in%20bars--1026d3124f9ffd96d4f7e0ba6a08f1fe.pdf" TargetMode="External"/><Relationship Id="rId39" Type="http://schemas.openxmlformats.org/officeDocument/2006/relationships/hyperlink" Target="https://epd-online.com/Epd/PdfDownload?id=14935&amp;stat=true" TargetMode="External"/><Relationship Id="rId21" Type="http://schemas.openxmlformats.org/officeDocument/2006/relationships/hyperlink" Target="https://www.asphalt.de/fileadmin/user_upload/technik/baustoffe_und_baustoffgemische.pdf" TargetMode="External"/><Relationship Id="rId34" Type="http://schemas.openxmlformats.org/officeDocument/2006/relationships/hyperlink" Target="https://www.pittini.com/wp-content/uploads/sites/21/Pittini-Gruppe-elektrogeschweisste-matten-und-gittertrager-DEU.pdf" TargetMode="External"/><Relationship Id="rId42" Type="http://schemas.openxmlformats.org/officeDocument/2006/relationships/hyperlink" Target="https://environdec.com/library/epd5640" TargetMode="External"/><Relationship Id="rId47" Type="http://schemas.openxmlformats.org/officeDocument/2006/relationships/hyperlink" Target="https://oekobaudat.de/OEKOBAU.DAT/datasetdetail/process.xhtml?uuid=78fb80c2-6d74-49fe-97fa-4d436af75106&amp;version=20.23.050" TargetMode="External"/><Relationship Id="rId50" Type="http://schemas.openxmlformats.org/officeDocument/2006/relationships/hyperlink" Target="https://www.oekobaudat.de/OEKOBAU.DAT/resource/sources/11b6f292-d761-4491-910f-84f4d16b9f02/EPD-Anhang_Kronimus_BS_Edelsplitt.pdf?version=00.01.000" TargetMode="External"/><Relationship Id="rId55" Type="http://schemas.openxmlformats.org/officeDocument/2006/relationships/hyperlink" Target="https://www.voestalpine.com/colofer/content/download/50773/file/2022_EPD_organic_coated_steel_strip_voestalpine.pdf?inLanguage=eng-GB" TargetMode="External"/><Relationship Id="rId7" Type="http://schemas.openxmlformats.org/officeDocument/2006/relationships/hyperlink" Target="https://oekobaudat.de/OEKOBAU.DAT/resource/sources/8c29eeb7-0515-4334-a910-308cf7d02b9c/A2-Betonpflaster-_Standardstein_grau_mit_Vorsatz_12673.pdf?version=00.01.000" TargetMode="External"/><Relationship Id="rId2" Type="http://schemas.openxmlformats.org/officeDocument/2006/relationships/hyperlink" Target="https://rau.de/de/2021/03/24/klimaktiv/" TargetMode="External"/><Relationship Id="rId16" Type="http://schemas.openxmlformats.org/officeDocument/2006/relationships/hyperlink" Target="https://oekobaudat.de/OEKOBAU.DAT/datasetdetail/process.xhtml?uuid=3d1b480d-243f-4ff2-aa16-428e1a93f5d8&amp;version=20.21.060&amp;stock=OBD_2021_II&amp;lang=de" TargetMode="External"/><Relationship Id="rId29" Type="http://schemas.openxmlformats.org/officeDocument/2006/relationships/hyperlink" Target="https://oekobaudat.de/OEKOBAU.DAT/datasetdetail/process.xhtml?uuid=f281ecaf-5754-4d27-8d70-cfd18780b192&amp;version=20.19.120&amp;stock=OBD_2021_II&amp;lang=de" TargetMode="External"/><Relationship Id="rId11" Type="http://schemas.openxmlformats.org/officeDocument/2006/relationships/hyperlink" Target="https://www.oekobaudat.de/OEKOBAU.DAT/resource/sources/11b6f292-d761-4491-910f-84f4d16b9f02/EPD-Anhang_Kronimus_BS_Edelsplitt.pdf?version=00.01.000" TargetMode="External"/><Relationship Id="rId24" Type="http://schemas.openxmlformats.org/officeDocument/2006/relationships/hyperlink" Target="https://www.dgnb-navigator.de/BackOffice/DownloadFile?id=0f851792-87b8-435d-b80e-6e4919564711.pdf" TargetMode="External"/><Relationship Id="rId32" Type="http://schemas.openxmlformats.org/officeDocument/2006/relationships/hyperlink" Target="https://portal.environdec.com/api/api/v1/EPDLibrary/Files/4c6cd74b-ff39-4b21-3a3b-08d98fadb225/Data" TargetMode="External"/><Relationship Id="rId37" Type="http://schemas.openxmlformats.org/officeDocument/2006/relationships/hyperlink" Target="https://www.voestalpine.com/stahl/content/download/55574/file/Grobblech-voestalpine-DE-22032023.pdf?inLanguage=ger-DE" TargetMode="External"/><Relationship Id="rId40" Type="http://schemas.openxmlformats.org/officeDocument/2006/relationships/hyperlink" Target="https://awkgmbh.de/unsere-produkte.html" TargetMode="External"/><Relationship Id="rId45" Type="http://schemas.openxmlformats.org/officeDocument/2006/relationships/hyperlink" Target="https://www.superlit.com/wp/wp-content/uploads/2021/01/S-P-01994-EPD-SUPERLIT.pdf" TargetMode="External"/><Relationship Id="rId53" Type="http://schemas.openxmlformats.org/officeDocument/2006/relationships/hyperlink" Target="https://www.plexiglas.de/files/plexiglas-content/pdf/sonstige-dokumente/EPD-Umwelterklaerung-PLEXIGLAS-Massivplatten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s://ibudata.lca-data.com/resource/sources/155aa4c4-ea60-4caf-a0bb-baf3298d72e4/Konstruktionsvollholz_GLT_Gepruefte_Leimholz_Traeger_14582.pdf?version=00.01.000" TargetMode="External"/><Relationship Id="rId19" Type="http://schemas.openxmlformats.org/officeDocument/2006/relationships/hyperlink" Target="https://oekobaudat.de/OEKOBAU.DAT/datasetdetail/process.xhtml?uuid=2d7f6993-c585-4674-b030-348434efeaca&amp;version=20.21.060&amp;stock=OBD_2021_II&amp;lang=de" TargetMode="External"/><Relationship Id="rId4" Type="http://schemas.openxmlformats.org/officeDocument/2006/relationships/hyperlink" Target="https://www.baustoffwissen.de/baustoffe/baustoffknowhow/grundstoffe-des-bauens/schuettgueter-korngroesse-sand-kies-splitt-schotter/" TargetMode="External"/><Relationship Id="rId9" Type="http://schemas.openxmlformats.org/officeDocument/2006/relationships/hyperlink" Target="https://oekobaudat.de/OEKOBAU.DAT/datasetdetail/process.xhtml?uuid=95c6760d-1605-430b-8216-825f6c0ac409&amp;version=20.19.120&amp;stock=OBD_2021_II&amp;lang=de" TargetMode="External"/><Relationship Id="rId14" Type="http://schemas.openxmlformats.org/officeDocument/2006/relationships/hyperlink" Target="https://www.iplex.com.au/assets/Uploads/e50a123b26/FLOWTITE-EPD.pdf" TargetMode="External"/><Relationship Id="rId22" Type="http://schemas.openxmlformats.org/officeDocument/2006/relationships/hyperlink" Target="https://www.epd.dk/media/axrlfnga/md-21025-da_unicon.pdf" TargetMode="External"/><Relationship Id="rId27" Type="http://schemas.openxmlformats.org/officeDocument/2006/relationships/hyperlink" Target="https://oekobaudat.de/OEKOBAU.DAT/datasetdetail/process.xhtml?uuid=e9ae96ee-ba8d-420d-9725-7c8abd06e082&amp;version=20.19.120&amp;stock=OBD_2021_II&amp;lang=de" TargetMode="External"/><Relationship Id="rId30" Type="http://schemas.openxmlformats.org/officeDocument/2006/relationships/hyperlink" Target="https://www.kiesdirekt.de/shop/menge-rechner.asp?groupid=24&amp;productid=386%0a" TargetMode="External"/><Relationship Id="rId35" Type="http://schemas.openxmlformats.org/officeDocument/2006/relationships/hyperlink" Target="https://www.pittini.com/wp-content/uploads/sites/21/Pittini-Gruppe-elektrogeschweisste-matten-und-gittertrager-DEU.pdf" TargetMode="External"/><Relationship Id="rId43" Type="http://schemas.openxmlformats.org/officeDocument/2006/relationships/hyperlink" Target="https://www.bau-epd.at/fileadmin/user_upload/epds_Deutsch/BAU-EPD-MARIENHUETTE-2020-1-Ecoinvent-Baustahl_20200326.pdf" TargetMode="External"/><Relationship Id="rId48" Type="http://schemas.openxmlformats.org/officeDocument/2006/relationships/hyperlink" Target="https://www.mageba-group.com/ch/data/docs/de_CH-1996/3129/DATASHEET-RESTON-POT-ch-de.pdf?v=1.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oekobaudat.de/OEKOBAU.DAT/datasetdetail/process.xhtml?uuid=118d1b5e-5f22-4d04-8711-c4b02de02209&amp;version=20.19.120&amp;stock=OBD_2021_II&amp;lang=de" TargetMode="External"/><Relationship Id="rId51" Type="http://schemas.openxmlformats.org/officeDocument/2006/relationships/hyperlink" Target="https://www.mageba-group.com/ch/data/docs/de_CH-1996/2594/BROCHURE-TENSA-FINGER-RSFD-ch-de.pdf?v=1.1" TargetMode="External"/><Relationship Id="rId3" Type="http://schemas.openxmlformats.org/officeDocument/2006/relationships/hyperlink" Target="https://www.kvh.eu/fileadmin/downloads/Vereinbarungen_und_Zulassungen/umweltproduktdeklaration_Konstruktionsvollholz_KVH.PDF" TargetMode="External"/><Relationship Id="rId12" Type="http://schemas.openxmlformats.org/officeDocument/2006/relationships/hyperlink" Target="https://www.oekobaudat.de/OEKOBAU.DAT/resource/sources/11b6f292-d761-4491-910f-84f4d16b9f02/EPD-Anhang_Kronimus_BS_Edelsplitt.pdf?version=00.01.000" TargetMode="External"/><Relationship Id="rId17" Type="http://schemas.openxmlformats.org/officeDocument/2006/relationships/hyperlink" Target="https://oekobaudat.de/OEKOBAU.DAT/datasetdetail/process.xhtml?uuid=f34786e7-0953-4085-9f3d-955481cdd4ea&amp;version=20.21.060&amp;stock=OBD_2021_II&amp;lang=de" TargetMode="External"/><Relationship Id="rId25" Type="http://schemas.openxmlformats.org/officeDocument/2006/relationships/hyperlink" Target="https://www.kiwa.com/49bf9f/globalassets/germany/veroffentlichte-epds/epd_-slm_pc_strand---final.pdf/" TargetMode="External"/><Relationship Id="rId33" Type="http://schemas.openxmlformats.org/officeDocument/2006/relationships/hyperlink" Target="https://www.rivastahl.com/items/787/allegati/1/Rivastahl_Umwelt-Produktdeklaration.pdf" TargetMode="External"/><Relationship Id="rId38" Type="http://schemas.openxmlformats.org/officeDocument/2006/relationships/hyperlink" Target="https://epd-online.com/Epd/PdfDownload?id=12312&amp;stat=true" TargetMode="External"/><Relationship Id="rId46" Type="http://schemas.openxmlformats.org/officeDocument/2006/relationships/hyperlink" Target="https://oekobaudat.de/OEKOBAU.DAT/resource/sources/2b6a72f7-ae5d-4f40-ab35-45f86484c55d/Aluminiumprofil_beschichtet_10999.pdf?version=00.01.000" TargetMode="External"/><Relationship Id="rId59" Type="http://schemas.openxmlformats.org/officeDocument/2006/relationships/comments" Target="../comments1.xml"/><Relationship Id="rId20" Type="http://schemas.openxmlformats.org/officeDocument/2006/relationships/hyperlink" Target="https://ibudata.lca-data.com/resource/sources/85758122-b0ee-4dff-9dbb-88dac14d6a12/Cold_Rolled_Stainless_Steel_10910.pdf?version=00.01.000" TargetMode="External"/><Relationship Id="rId41" Type="http://schemas.openxmlformats.org/officeDocument/2006/relationships/hyperlink" Target="https://oekobaudat.de/OEKOBAU.DAT/datasetdetail/process.xhtml?uuid=d1050c0d-a62f-4347-8ae6-2f31532caeec&amp;version=00.00.029" TargetMode="External"/><Relationship Id="rId54" Type="http://schemas.openxmlformats.org/officeDocument/2006/relationships/hyperlink" Target="https://www.rebloc.at/loesungen" TargetMode="External"/><Relationship Id="rId1" Type="http://schemas.openxmlformats.org/officeDocument/2006/relationships/hyperlink" Target="https://www.georgfischer.com/de/sustainability-at-gf/life-cycle-assessments.html" TargetMode="External"/><Relationship Id="rId6" Type="http://schemas.openxmlformats.org/officeDocument/2006/relationships/hyperlink" Target="https://muster-epd.deutsche-bauchemie.de/modifizierte-mineralische-moertel" TargetMode="External"/><Relationship Id="rId15" Type="http://schemas.openxmlformats.org/officeDocument/2006/relationships/hyperlink" Target="https://www.beton.org/service/zement-merkblaetter/" TargetMode="External"/><Relationship Id="rId23" Type="http://schemas.openxmlformats.org/officeDocument/2006/relationships/hyperlink" Target="https://www.epd-norge.no/getfile.php/1319135-1623762697/EPDer/Byggevarer/Ferdig%20betong/NEPD-2893-1589_Fabriksbetong-C30-37-vct-0-55---C40-50-vct-04.pdf" TargetMode="External"/><Relationship Id="rId28" Type="http://schemas.openxmlformats.org/officeDocument/2006/relationships/hyperlink" Target="https://oekobaudat.de/OEKOBAU.DAT/datasetdetail/process.xhtml?uuid=7a4d3393-a33a-47c8-b42f-42d8ec6a90f6&amp;version=20.19.120&amp;stock=OBD_2021_II&amp;lang=de" TargetMode="External"/><Relationship Id="rId36" Type="http://schemas.openxmlformats.org/officeDocument/2006/relationships/hyperlink" Target="https://epd-online.com/Epd/PdfDownload?id=16736&amp;stat=true" TargetMode="External"/><Relationship Id="rId49" Type="http://schemas.openxmlformats.org/officeDocument/2006/relationships/hyperlink" Target="https://oekobaudat.de/OEKOBAU.DAT/datasetdetail/process.xhtml?uuid=884efbb3-7be6-4e4d-9726-c39c1b781436&amp;version=20.19.120&amp;stock=OBD_2021_II&amp;lang=de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s://www.pveno.nl/handboek-voegovergangen/wp-content/uploads/sites/3/2016/07/TRANSGRIP-Poster_12_Web.pdf" TargetMode="External"/><Relationship Id="rId31" Type="http://schemas.openxmlformats.org/officeDocument/2006/relationships/hyperlink" Target="https://oekobaudat.de/OEKOBAU.DAT/resource/sources/6bf74566-0559-4890-8236-4e06043d3805/Beton_der_Druckfestigkeitsklasse_C_3545_10524.pdf?version=00.03.000" TargetMode="External"/><Relationship Id="rId44" Type="http://schemas.openxmlformats.org/officeDocument/2006/relationships/hyperlink" Target="https://www.pittini.com/wp-content/uploads/sites/21/Pittini-Gruppe-rundstahl-vom-coil-und-in-staben-EPD-zertifizierung-DEU.pdf" TargetMode="External"/><Relationship Id="rId52" Type="http://schemas.openxmlformats.org/officeDocument/2006/relationships/hyperlink" Target="https://www.fmi-mineralwolle.de/service/publikationen/infoblaetter/epd-mineralwolle-hohe-rohdich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eplca.jrc.ec.europa.eu/globalLCA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oekobaudat.de/OEKOBAU.DAT/datasetdetail/process.xhtml?lang=de&amp;uuid=f5c6cbd6-258c-4542-876a-1d44adfc0992" TargetMode="External"/><Relationship Id="rId1" Type="http://schemas.openxmlformats.org/officeDocument/2006/relationships/hyperlink" Target="https://www.bafa.de/SharedDocs/Downloads/DE/Energie/eew_infoblatt_co2_faktoren_2022.pdf?__blob=publicationFile&amp;v=6" TargetMode="External"/><Relationship Id="rId6" Type="http://schemas.openxmlformats.org/officeDocument/2006/relationships/hyperlink" Target="https://www.umweltbundesamt.at/fileadmin/site/publikationen/rep0816.pdf" TargetMode="External"/><Relationship Id="rId5" Type="http://schemas.openxmlformats.org/officeDocument/2006/relationships/hyperlink" Target="https://www.umweltbundesamt.at/fileadmin/site/publikationen/rep0816.pdf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eco-platform.org/epd-data.html" TargetMode="External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92D050"/>
    <pageSetUpPr fitToPage="1"/>
  </sheetPr>
  <dimension ref="A1:AK390"/>
  <sheetViews>
    <sheetView showGridLines="0" tabSelected="1" zoomScale="60" zoomScaleNormal="60" zoomScaleSheetLayoutView="3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N30" sqref="N30"/>
    </sheetView>
  </sheetViews>
  <sheetFormatPr baseColWidth="10" defaultColWidth="11.42578125" defaultRowHeight="15" outlineLevelRow="1" outlineLevelCol="1" x14ac:dyDescent="0.25"/>
  <cols>
    <col min="1" max="1" width="39.28515625" customWidth="1"/>
    <col min="2" max="2" width="81.5703125" customWidth="1"/>
    <col min="3" max="3" width="11.42578125" customWidth="1"/>
    <col min="4" max="4" width="19.5703125" style="122" hidden="1" customWidth="1" outlineLevel="1"/>
    <col min="5" max="5" width="14" style="118" hidden="1" customWidth="1" outlineLevel="1"/>
    <col min="6" max="6" width="15.28515625" hidden="1" customWidth="1" outlineLevel="1"/>
    <col min="7" max="7" width="14" hidden="1" customWidth="1" outlineLevel="1"/>
    <col min="8" max="8" width="13.42578125" customWidth="1" collapsed="1"/>
    <col min="9" max="10" width="10.5703125" hidden="1" customWidth="1" outlineLevel="1"/>
    <col min="11" max="11" width="11.140625" customWidth="1" collapsed="1"/>
    <col min="12" max="12" width="14.85546875" customWidth="1"/>
    <col min="13" max="13" width="8.42578125" customWidth="1"/>
    <col min="14" max="14" width="9.5703125" customWidth="1"/>
    <col min="15" max="15" width="8.42578125" hidden="1" customWidth="1" outlineLevel="1"/>
    <col min="16" max="16" width="11.85546875" customWidth="1" collapsed="1"/>
    <col min="17" max="17" width="10.140625" hidden="1" customWidth="1" outlineLevel="1"/>
    <col min="18" max="19" width="8.42578125" hidden="1" customWidth="1" outlineLevel="1"/>
    <col min="20" max="20" width="14" customWidth="1" collapsed="1"/>
    <col min="21" max="22" width="8.42578125" hidden="1" customWidth="1" outlineLevel="1"/>
    <col min="23" max="23" width="9.42578125" hidden="1" customWidth="1" outlineLevel="1"/>
    <col min="24" max="24" width="17" customWidth="1" collapsed="1"/>
    <col min="27" max="28" width="17" customWidth="1"/>
    <col min="29" max="29" width="32.28515625" customWidth="1"/>
    <col min="30" max="30" width="54.7109375" customWidth="1"/>
    <col min="31" max="31" width="60" customWidth="1"/>
    <col min="32" max="32" width="185.85546875" bestFit="1" customWidth="1"/>
    <col min="33" max="33" width="11.42578125" hidden="1" customWidth="1" outlineLevel="1"/>
    <col min="34" max="34" width="11.42578125" customWidth="1" collapsed="1"/>
    <col min="35" max="36" width="11.42578125" customWidth="1"/>
  </cols>
  <sheetData>
    <row r="1" spans="1:33" x14ac:dyDescent="0.25">
      <c r="H1" s="114"/>
      <c r="I1" s="119" t="s">
        <v>22</v>
      </c>
      <c r="J1" s="119"/>
      <c r="M1" s="114"/>
      <c r="O1" s="119"/>
      <c r="Q1" s="119"/>
      <c r="R1" s="119"/>
      <c r="S1" s="119"/>
      <c r="T1" s="114"/>
      <c r="U1" s="119"/>
      <c r="V1" s="119"/>
      <c r="W1" s="119"/>
      <c r="X1" s="772"/>
      <c r="Y1" s="114"/>
      <c r="Z1" s="127"/>
      <c r="AA1" s="114"/>
      <c r="AB1" s="127"/>
      <c r="AC1" s="127"/>
      <c r="AG1" s="217" t="s">
        <v>490</v>
      </c>
    </row>
    <row r="2" spans="1:33" s="112" customFormat="1" ht="46.7" customHeight="1" thickBot="1" x14ac:dyDescent="0.3">
      <c r="A2" s="792" t="s">
        <v>760</v>
      </c>
      <c r="D2" s="793"/>
      <c r="E2" s="794"/>
      <c r="H2" s="31" t="s">
        <v>235</v>
      </c>
      <c r="I2" s="31"/>
      <c r="J2" s="31"/>
      <c r="K2" s="923" t="s">
        <v>236</v>
      </c>
      <c r="L2" s="924"/>
      <c r="M2" s="925" t="s">
        <v>521</v>
      </c>
      <c r="N2" s="923"/>
      <c r="O2" s="923"/>
      <c r="P2" s="924"/>
      <c r="Q2" s="737"/>
      <c r="R2" s="737"/>
      <c r="S2" s="128"/>
      <c r="T2" s="31" t="s">
        <v>489</v>
      </c>
      <c r="U2" s="31"/>
      <c r="V2" s="31"/>
      <c r="W2" s="31"/>
      <c r="X2" s="31" t="s">
        <v>23</v>
      </c>
      <c r="Y2" s="129"/>
      <c r="Z2" s="130"/>
      <c r="AA2" s="31" t="s">
        <v>24</v>
      </c>
      <c r="AB2" s="31" t="s">
        <v>25</v>
      </c>
      <c r="AC2" s="31" t="s">
        <v>26</v>
      </c>
    </row>
    <row r="3" spans="1:33" ht="15.75" thickBot="1" x14ac:dyDescent="0.3">
      <c r="A3" s="104" t="s">
        <v>4</v>
      </c>
      <c r="B3" s="105" t="s">
        <v>5</v>
      </c>
      <c r="D3" s="795"/>
      <c r="H3" s="131" t="s">
        <v>3</v>
      </c>
      <c r="I3" s="132" t="s">
        <v>27</v>
      </c>
      <c r="J3" s="132" t="s">
        <v>28</v>
      </c>
      <c r="K3" s="131" t="s">
        <v>29</v>
      </c>
      <c r="L3" s="133" t="s">
        <v>30</v>
      </c>
      <c r="M3" s="131" t="s">
        <v>31</v>
      </c>
      <c r="N3" s="131" t="s">
        <v>32</v>
      </c>
      <c r="O3" s="132" t="s">
        <v>33</v>
      </c>
      <c r="P3" s="131" t="s">
        <v>34</v>
      </c>
      <c r="Q3" s="132" t="s">
        <v>35</v>
      </c>
      <c r="R3" s="132" t="s">
        <v>36</v>
      </c>
      <c r="S3" s="134" t="s">
        <v>37</v>
      </c>
      <c r="T3" s="131" t="s">
        <v>232</v>
      </c>
      <c r="U3" s="132" t="s">
        <v>38</v>
      </c>
      <c r="V3" s="132" t="s">
        <v>39</v>
      </c>
      <c r="W3" s="134" t="s">
        <v>40</v>
      </c>
      <c r="X3" s="133" t="s">
        <v>41</v>
      </c>
      <c r="Y3" s="4"/>
      <c r="Z3" s="127"/>
      <c r="AA3" s="133"/>
      <c r="AB3" s="131"/>
      <c r="AC3" s="131"/>
    </row>
    <row r="4" spans="1:33" s="3" customFormat="1" ht="52.5" customHeight="1" x14ac:dyDescent="0.3">
      <c r="B4" s="796" t="s">
        <v>42</v>
      </c>
      <c r="D4" s="797">
        <v>1</v>
      </c>
      <c r="E4" s="798"/>
      <c r="H4" s="4" t="s">
        <v>371</v>
      </c>
      <c r="I4" s="799" t="s">
        <v>43</v>
      </c>
      <c r="J4" s="799" t="s">
        <v>44</v>
      </c>
      <c r="K4" s="3" t="s">
        <v>43</v>
      </c>
      <c r="L4" s="3" t="s">
        <v>45</v>
      </c>
      <c r="M4" s="4" t="s">
        <v>46</v>
      </c>
      <c r="N4" s="3" t="s">
        <v>47</v>
      </c>
      <c r="O4" s="799" t="s">
        <v>48</v>
      </c>
      <c r="P4" s="3" t="s">
        <v>49</v>
      </c>
      <c r="Q4" s="799" t="s">
        <v>50</v>
      </c>
      <c r="R4" s="799" t="s">
        <v>51</v>
      </c>
      <c r="S4" s="799" t="s">
        <v>52</v>
      </c>
      <c r="T4" s="4" t="s">
        <v>372</v>
      </c>
      <c r="U4" s="799" t="s">
        <v>43</v>
      </c>
      <c r="V4" s="799" t="s">
        <v>53</v>
      </c>
      <c r="W4" s="799" t="s">
        <v>54</v>
      </c>
      <c r="X4" s="4" t="s">
        <v>55</v>
      </c>
      <c r="Y4" s="177" t="s">
        <v>56</v>
      </c>
      <c r="Z4" s="178" t="s">
        <v>57</v>
      </c>
      <c r="AA4" s="4"/>
      <c r="AB4" s="19"/>
      <c r="AC4" s="19"/>
    </row>
    <row r="5" spans="1:33" x14ac:dyDescent="0.25">
      <c r="B5">
        <v>1</v>
      </c>
      <c r="C5">
        <v>2</v>
      </c>
      <c r="D5" s="122">
        <v>3</v>
      </c>
      <c r="E5" s="118">
        <v>4</v>
      </c>
      <c r="F5">
        <v>5</v>
      </c>
      <c r="G5">
        <v>6</v>
      </c>
      <c r="H5" s="114">
        <v>7</v>
      </c>
      <c r="I5" s="119">
        <v>8</v>
      </c>
      <c r="J5" s="119">
        <v>9</v>
      </c>
      <c r="K5">
        <v>10</v>
      </c>
      <c r="L5">
        <v>11</v>
      </c>
      <c r="M5" s="114">
        <v>12</v>
      </c>
      <c r="N5">
        <v>13</v>
      </c>
      <c r="O5" s="119">
        <v>14</v>
      </c>
      <c r="P5">
        <v>15</v>
      </c>
      <c r="Q5" s="119">
        <v>16</v>
      </c>
      <c r="R5" s="119">
        <v>17</v>
      </c>
      <c r="S5" s="119">
        <v>18</v>
      </c>
      <c r="T5" s="114">
        <v>19</v>
      </c>
      <c r="U5" s="119">
        <v>20</v>
      </c>
      <c r="V5" s="119">
        <v>21</v>
      </c>
      <c r="W5" s="119">
        <v>22</v>
      </c>
      <c r="X5" s="114">
        <v>23</v>
      </c>
      <c r="Y5" s="114"/>
      <c r="Z5" s="127"/>
      <c r="AA5" s="114"/>
      <c r="AB5" s="127"/>
      <c r="AC5" s="127"/>
    </row>
    <row r="6" spans="1:33" s="26" customFormat="1" ht="63" x14ac:dyDescent="0.25">
      <c r="A6" s="918" t="s">
        <v>1</v>
      </c>
      <c r="B6" s="918"/>
      <c r="C6" s="101" t="s">
        <v>638</v>
      </c>
      <c r="D6" s="102" t="s">
        <v>58</v>
      </c>
      <c r="E6" s="103" t="s">
        <v>274</v>
      </c>
      <c r="F6" s="103" t="s">
        <v>417</v>
      </c>
      <c r="G6" s="27"/>
      <c r="H6" s="919" t="s">
        <v>515</v>
      </c>
      <c r="I6" s="920"/>
      <c r="J6" s="920"/>
      <c r="K6" s="920"/>
      <c r="L6" s="921"/>
      <c r="M6" s="937" t="s">
        <v>6</v>
      </c>
      <c r="N6" s="937"/>
      <c r="O6" s="937"/>
      <c r="P6" s="937"/>
      <c r="Q6" s="937"/>
      <c r="R6" s="937"/>
      <c r="S6" s="937"/>
      <c r="T6" s="919" t="s">
        <v>6</v>
      </c>
      <c r="U6" s="920"/>
      <c r="V6" s="920"/>
      <c r="W6" s="921"/>
      <c r="X6" s="49" t="s">
        <v>6</v>
      </c>
      <c r="Y6" s="51"/>
      <c r="Z6" s="69"/>
      <c r="AA6" s="49" t="s">
        <v>59</v>
      </c>
      <c r="AB6" s="28" t="s">
        <v>59</v>
      </c>
      <c r="AC6" s="28"/>
      <c r="AD6" s="29" t="s">
        <v>60</v>
      </c>
      <c r="AE6" s="29" t="s">
        <v>61</v>
      </c>
      <c r="AF6" s="800" t="s">
        <v>62</v>
      </c>
    </row>
    <row r="7" spans="1:33" s="136" customFormat="1" ht="19.5" thickBot="1" x14ac:dyDescent="0.35">
      <c r="A7" s="801" t="s">
        <v>63</v>
      </c>
      <c r="B7" s="802"/>
      <c r="C7" s="803"/>
      <c r="D7" s="804"/>
      <c r="E7" s="805"/>
      <c r="F7" s="806"/>
      <c r="G7" s="807"/>
      <c r="H7" s="786"/>
      <c r="I7" s="808"/>
      <c r="J7" s="808"/>
      <c r="K7" s="809"/>
      <c r="L7" s="809"/>
      <c r="M7" s="810"/>
      <c r="N7" s="805"/>
      <c r="O7" s="811"/>
      <c r="P7" s="805"/>
      <c r="Q7" s="811"/>
      <c r="R7" s="811"/>
      <c r="S7" s="811"/>
      <c r="T7" s="812"/>
      <c r="U7" s="808"/>
      <c r="V7" s="808"/>
      <c r="W7" s="808"/>
      <c r="X7" s="810"/>
      <c r="Y7" s="813"/>
      <c r="Z7" s="814"/>
      <c r="AA7" s="810"/>
      <c r="AB7" s="815"/>
      <c r="AC7" s="816" t="s">
        <v>64</v>
      </c>
      <c r="AD7" s="805"/>
      <c r="AE7" s="805"/>
      <c r="AF7" s="817"/>
    </row>
    <row r="8" spans="1:33" ht="15" customHeight="1" x14ac:dyDescent="0.25">
      <c r="A8" s="396" t="s">
        <v>2</v>
      </c>
      <c r="B8" s="323" t="s">
        <v>442</v>
      </c>
      <c r="C8" s="233" t="s">
        <v>467</v>
      </c>
      <c r="D8" s="818">
        <v>55.83</v>
      </c>
      <c r="E8" s="231" t="s">
        <v>467</v>
      </c>
      <c r="F8" s="586">
        <v>2400</v>
      </c>
      <c r="G8" s="784">
        <v>1</v>
      </c>
      <c r="H8" s="785">
        <f t="shared" ref="H8:H31" si="0">$D$4*D8</f>
        <v>55.83</v>
      </c>
      <c r="I8" s="235"/>
      <c r="J8" s="235"/>
      <c r="K8" s="325">
        <v>8.1999999999999993</v>
      </c>
      <c r="L8" s="326">
        <v>1.08</v>
      </c>
      <c r="M8" s="236">
        <v>-10</v>
      </c>
      <c r="N8" s="327">
        <f>$H$66+SUM(K8:M8,T8)</f>
        <v>787.58999999999992</v>
      </c>
      <c r="O8" s="235"/>
      <c r="P8" s="328">
        <f>SUM(H8:L8,T8)</f>
        <v>86.22</v>
      </c>
      <c r="Q8" s="235"/>
      <c r="R8" s="235"/>
      <c r="S8" s="235"/>
      <c r="T8" s="236">
        <f t="shared" ref="T8:T31" si="1">3.1+12+6.01</f>
        <v>21.11</v>
      </c>
      <c r="U8" s="235"/>
      <c r="V8" s="235"/>
      <c r="W8" s="235"/>
      <c r="X8" s="237">
        <f>(Z8-Y8)*ModulCD!$O$3*F8</f>
        <v>0</v>
      </c>
      <c r="Y8" s="238">
        <v>0</v>
      </c>
      <c r="Z8" s="71">
        <v>0</v>
      </c>
      <c r="AA8" s="162">
        <v>2024</v>
      </c>
      <c r="AB8" s="162"/>
      <c r="AC8" s="852" t="s">
        <v>534</v>
      </c>
      <c r="AD8" t="s">
        <v>726</v>
      </c>
      <c r="AE8" s="118"/>
      <c r="AF8" s="240"/>
      <c r="AG8" s="123"/>
    </row>
    <row r="9" spans="1:33" x14ac:dyDescent="0.25">
      <c r="A9" s="396"/>
      <c r="B9" s="323" t="s">
        <v>580</v>
      </c>
      <c r="C9" s="233" t="s">
        <v>467</v>
      </c>
      <c r="D9" s="818">
        <v>135.66999999999999</v>
      </c>
      <c r="E9" s="231" t="s">
        <v>467</v>
      </c>
      <c r="F9" s="586">
        <v>2400</v>
      </c>
      <c r="G9" s="784">
        <v>1</v>
      </c>
      <c r="H9" s="785">
        <f t="shared" si="0"/>
        <v>135.66999999999999</v>
      </c>
      <c r="I9" s="235"/>
      <c r="J9" s="235"/>
      <c r="K9" s="325">
        <v>8.1999999999999993</v>
      </c>
      <c r="L9" s="326">
        <v>1.08</v>
      </c>
      <c r="M9" s="236">
        <v>-10</v>
      </c>
      <c r="N9" s="327">
        <f t="shared" ref="N9:N39" si="2">$H$66+SUM(K9:M9,T9)</f>
        <v>787.58999999999992</v>
      </c>
      <c r="O9" s="235"/>
      <c r="P9" s="328">
        <f t="shared" ref="P9:P31" si="3">SUM(H9:L9,T9)</f>
        <v>166.06</v>
      </c>
      <c r="Q9" s="235"/>
      <c r="R9" s="235"/>
      <c r="S9" s="235"/>
      <c r="T9" s="236">
        <f t="shared" si="1"/>
        <v>21.11</v>
      </c>
      <c r="U9" s="235"/>
      <c r="V9" s="235"/>
      <c r="W9" s="235"/>
      <c r="X9" s="237">
        <f>(Z9-Y9)*ModulCD!$O$3*F9</f>
        <v>0</v>
      </c>
      <c r="Y9" s="238">
        <v>0</v>
      </c>
      <c r="Z9" s="71">
        <v>0</v>
      </c>
      <c r="AA9" s="162">
        <v>2024</v>
      </c>
      <c r="AB9" s="162"/>
      <c r="AC9" s="852"/>
      <c r="AD9" t="s">
        <v>726</v>
      </c>
      <c r="AE9" s="118"/>
      <c r="AF9" s="240"/>
    </row>
    <row r="10" spans="1:33" x14ac:dyDescent="0.25">
      <c r="A10" s="396"/>
      <c r="B10" s="323" t="s">
        <v>581</v>
      </c>
      <c r="C10" s="233" t="s">
        <v>467</v>
      </c>
      <c r="D10" s="818">
        <v>140.6</v>
      </c>
      <c r="E10" s="231" t="s">
        <v>467</v>
      </c>
      <c r="F10" s="586">
        <v>2400</v>
      </c>
      <c r="G10" s="784">
        <v>1</v>
      </c>
      <c r="H10" s="785">
        <f t="shared" si="0"/>
        <v>140.6</v>
      </c>
      <c r="I10" s="235"/>
      <c r="J10" s="235"/>
      <c r="K10" s="325">
        <v>8.1999999999999993</v>
      </c>
      <c r="L10" s="326">
        <v>1.08</v>
      </c>
      <c r="M10" s="236">
        <v>-10</v>
      </c>
      <c r="N10" s="327">
        <f t="shared" si="2"/>
        <v>787.58999999999992</v>
      </c>
      <c r="O10" s="235"/>
      <c r="P10" s="328">
        <f t="shared" si="3"/>
        <v>170.99</v>
      </c>
      <c r="Q10" s="235"/>
      <c r="R10" s="235"/>
      <c r="S10" s="235"/>
      <c r="T10" s="236">
        <f t="shared" si="1"/>
        <v>21.11</v>
      </c>
      <c r="U10" s="235"/>
      <c r="V10" s="235"/>
      <c r="W10" s="235"/>
      <c r="X10" s="237">
        <f>(Z10-Y10)*ModulCD!$O$3*F10</f>
        <v>0</v>
      </c>
      <c r="Y10" s="238">
        <v>0</v>
      </c>
      <c r="Z10" s="71">
        <v>0</v>
      </c>
      <c r="AA10" s="162">
        <v>2024</v>
      </c>
      <c r="AB10" s="162"/>
      <c r="AC10" s="852"/>
      <c r="AD10" t="s">
        <v>726</v>
      </c>
      <c r="AE10" s="118"/>
      <c r="AF10" s="240"/>
    </row>
    <row r="11" spans="1:33" x14ac:dyDescent="0.25">
      <c r="A11" s="396"/>
      <c r="B11" s="323" t="s">
        <v>582</v>
      </c>
      <c r="C11" s="233" t="s">
        <v>467</v>
      </c>
      <c r="D11" s="818">
        <v>140.19</v>
      </c>
      <c r="E11" s="231" t="s">
        <v>467</v>
      </c>
      <c r="F11" s="586">
        <v>2400</v>
      </c>
      <c r="G11" s="784">
        <v>1</v>
      </c>
      <c r="H11" s="785">
        <f t="shared" si="0"/>
        <v>140.19</v>
      </c>
      <c r="I11" s="235"/>
      <c r="J11" s="235"/>
      <c r="K11" s="325">
        <v>8.1999999999999993</v>
      </c>
      <c r="L11" s="326">
        <v>1.08</v>
      </c>
      <c r="M11" s="236">
        <v>-10</v>
      </c>
      <c r="N11" s="327">
        <f t="shared" si="2"/>
        <v>787.58999999999992</v>
      </c>
      <c r="O11" s="235"/>
      <c r="P11" s="328">
        <f t="shared" si="3"/>
        <v>170.57999999999998</v>
      </c>
      <c r="Q11" s="235"/>
      <c r="R11" s="235"/>
      <c r="S11" s="235"/>
      <c r="T11" s="236">
        <f t="shared" si="1"/>
        <v>21.11</v>
      </c>
      <c r="U11" s="235"/>
      <c r="V11" s="235"/>
      <c r="W11" s="235"/>
      <c r="X11" s="237">
        <f>(Z11-Y11)*ModulCD!$O$3*F11</f>
        <v>0</v>
      </c>
      <c r="Y11" s="238">
        <v>0</v>
      </c>
      <c r="Z11" s="71">
        <v>0</v>
      </c>
      <c r="AA11" s="162">
        <v>2024</v>
      </c>
      <c r="AB11" s="162"/>
      <c r="AC11" s="852"/>
      <c r="AD11" t="s">
        <v>726</v>
      </c>
      <c r="AE11" s="118"/>
      <c r="AF11" s="240"/>
    </row>
    <row r="12" spans="1:33" x14ac:dyDescent="0.25">
      <c r="A12" s="396"/>
      <c r="B12" s="323" t="s">
        <v>583</v>
      </c>
      <c r="C12" s="233" t="s">
        <v>467</v>
      </c>
      <c r="D12" s="818">
        <v>144.16999999999999</v>
      </c>
      <c r="E12" s="231" t="s">
        <v>467</v>
      </c>
      <c r="F12" s="586">
        <v>2400</v>
      </c>
      <c r="G12" s="784">
        <v>1</v>
      </c>
      <c r="H12" s="785">
        <f t="shared" si="0"/>
        <v>144.16999999999999</v>
      </c>
      <c r="I12" s="235"/>
      <c r="J12" s="235"/>
      <c r="K12" s="325">
        <v>8.1999999999999993</v>
      </c>
      <c r="L12" s="331">
        <v>1.08</v>
      </c>
      <c r="M12" s="179">
        <v>-10</v>
      </c>
      <c r="N12" s="327">
        <f t="shared" si="2"/>
        <v>787.58999999999992</v>
      </c>
      <c r="O12" s="235"/>
      <c r="P12" s="328">
        <f t="shared" si="3"/>
        <v>174.56</v>
      </c>
      <c r="Q12" s="235"/>
      <c r="R12" s="235"/>
      <c r="S12" s="235"/>
      <c r="T12" s="236">
        <f t="shared" si="1"/>
        <v>21.11</v>
      </c>
      <c r="U12" s="235"/>
      <c r="V12" s="235"/>
      <c r="W12" s="235"/>
      <c r="X12" s="237">
        <f>(Z12-Y12)*ModulCD!$O$3*F12</f>
        <v>0</v>
      </c>
      <c r="Y12" s="238">
        <v>0</v>
      </c>
      <c r="Z12" s="71">
        <v>0</v>
      </c>
      <c r="AA12" s="162">
        <v>2024</v>
      </c>
      <c r="AB12" s="162"/>
      <c r="AC12" s="852"/>
      <c r="AD12" t="s">
        <v>726</v>
      </c>
      <c r="AE12" s="118"/>
      <c r="AF12" s="240"/>
    </row>
    <row r="13" spans="1:33" x14ac:dyDescent="0.25">
      <c r="A13" s="396"/>
      <c r="B13" s="323" t="s">
        <v>584</v>
      </c>
      <c r="C13" s="233" t="s">
        <v>467</v>
      </c>
      <c r="D13" s="818">
        <v>151.4</v>
      </c>
      <c r="E13" s="231" t="s">
        <v>467</v>
      </c>
      <c r="F13" s="586">
        <v>2400</v>
      </c>
      <c r="G13" s="784">
        <v>1</v>
      </c>
      <c r="H13" s="785">
        <f t="shared" si="0"/>
        <v>151.4</v>
      </c>
      <c r="I13" s="235"/>
      <c r="J13" s="235"/>
      <c r="K13" s="325">
        <v>8.1999999999999993</v>
      </c>
      <c r="L13" s="331">
        <v>1.08</v>
      </c>
      <c r="M13" s="179">
        <v>-10</v>
      </c>
      <c r="N13" s="327">
        <f t="shared" si="2"/>
        <v>787.58999999999992</v>
      </c>
      <c r="O13" s="235"/>
      <c r="P13" s="328">
        <f t="shared" si="3"/>
        <v>181.79000000000002</v>
      </c>
      <c r="Q13" s="235"/>
      <c r="R13" s="235"/>
      <c r="S13" s="235"/>
      <c r="T13" s="236">
        <f t="shared" si="1"/>
        <v>21.11</v>
      </c>
      <c r="U13" s="235"/>
      <c r="V13" s="235"/>
      <c r="W13" s="235"/>
      <c r="X13" s="237">
        <f>(Z13-Y13)*ModulCD!$O$3*F13</f>
        <v>0</v>
      </c>
      <c r="Y13" s="238">
        <v>0</v>
      </c>
      <c r="Z13" s="71">
        <v>0</v>
      </c>
      <c r="AA13" s="162">
        <v>2024</v>
      </c>
      <c r="AB13" s="162"/>
      <c r="AC13" s="852"/>
      <c r="AD13" t="s">
        <v>726</v>
      </c>
      <c r="AE13" s="118"/>
      <c r="AF13" s="240"/>
    </row>
    <row r="14" spans="1:33" x14ac:dyDescent="0.25">
      <c r="A14" s="396"/>
      <c r="B14" s="323" t="s">
        <v>585</v>
      </c>
      <c r="C14" s="233" t="s">
        <v>467</v>
      </c>
      <c r="D14" s="818">
        <v>163.74</v>
      </c>
      <c r="E14" s="231" t="s">
        <v>467</v>
      </c>
      <c r="F14" s="586">
        <v>2400</v>
      </c>
      <c r="G14" s="784">
        <v>1</v>
      </c>
      <c r="H14" s="785">
        <f t="shared" si="0"/>
        <v>163.74</v>
      </c>
      <c r="I14" s="235"/>
      <c r="J14" s="235"/>
      <c r="K14" s="325">
        <v>8.1999999999999993</v>
      </c>
      <c r="L14" s="331">
        <v>1.08</v>
      </c>
      <c r="M14" s="179">
        <v>-10</v>
      </c>
      <c r="N14" s="327">
        <f t="shared" si="2"/>
        <v>787.58999999999992</v>
      </c>
      <c r="O14" s="235"/>
      <c r="P14" s="328">
        <f t="shared" si="3"/>
        <v>194.13</v>
      </c>
      <c r="Q14" s="235"/>
      <c r="R14" s="235"/>
      <c r="S14" s="235"/>
      <c r="T14" s="236">
        <f t="shared" si="1"/>
        <v>21.11</v>
      </c>
      <c r="U14" s="235"/>
      <c r="V14" s="235"/>
      <c r="W14" s="235"/>
      <c r="X14" s="237">
        <f>(Z14-Y14)*ModulCD!$O$3*F14</f>
        <v>0</v>
      </c>
      <c r="Y14" s="238">
        <v>0</v>
      </c>
      <c r="Z14" s="71">
        <v>0</v>
      </c>
      <c r="AA14" s="162">
        <v>2024</v>
      </c>
      <c r="AB14" s="162"/>
      <c r="AC14" s="852"/>
      <c r="AD14" t="s">
        <v>726</v>
      </c>
      <c r="AE14" s="118"/>
      <c r="AF14" s="240"/>
    </row>
    <row r="15" spans="1:33" x14ac:dyDescent="0.25">
      <c r="A15" s="396"/>
      <c r="B15" s="323" t="s">
        <v>586</v>
      </c>
      <c r="C15" s="233" t="s">
        <v>467</v>
      </c>
      <c r="D15" s="818">
        <v>170.41</v>
      </c>
      <c r="E15" s="231" t="s">
        <v>467</v>
      </c>
      <c r="F15" s="586">
        <v>2400</v>
      </c>
      <c r="G15" s="784">
        <v>1</v>
      </c>
      <c r="H15" s="785">
        <f t="shared" si="0"/>
        <v>170.41</v>
      </c>
      <c r="I15" s="235"/>
      <c r="J15" s="235"/>
      <c r="K15" s="325">
        <v>8.1999999999999993</v>
      </c>
      <c r="L15" s="331">
        <v>1.08</v>
      </c>
      <c r="M15" s="179">
        <v>-10</v>
      </c>
      <c r="N15" s="327">
        <f t="shared" si="2"/>
        <v>787.58999999999992</v>
      </c>
      <c r="O15" s="235"/>
      <c r="P15" s="328">
        <f t="shared" si="3"/>
        <v>200.8</v>
      </c>
      <c r="Q15" s="235"/>
      <c r="R15" s="235"/>
      <c r="S15" s="235"/>
      <c r="T15" s="236">
        <f t="shared" si="1"/>
        <v>21.11</v>
      </c>
      <c r="U15" s="235"/>
      <c r="V15" s="235"/>
      <c r="W15" s="235"/>
      <c r="X15" s="237">
        <f>(Z15-Y15)*ModulCD!$O$3*F15</f>
        <v>0</v>
      </c>
      <c r="Y15" s="238">
        <v>0</v>
      </c>
      <c r="Z15" s="71">
        <v>0</v>
      </c>
      <c r="AA15" s="162">
        <v>2024</v>
      </c>
      <c r="AB15" s="162"/>
      <c r="AC15" s="852"/>
      <c r="AD15" t="s">
        <v>726</v>
      </c>
      <c r="AE15" s="118"/>
      <c r="AF15" s="240"/>
    </row>
    <row r="16" spans="1:33" x14ac:dyDescent="0.25">
      <c r="A16" s="396"/>
      <c r="B16" s="323" t="s">
        <v>587</v>
      </c>
      <c r="C16" s="233" t="s">
        <v>467</v>
      </c>
      <c r="D16" s="818">
        <v>160.51</v>
      </c>
      <c r="E16" s="231" t="s">
        <v>467</v>
      </c>
      <c r="F16" s="586">
        <v>2400</v>
      </c>
      <c r="G16" s="784">
        <v>1</v>
      </c>
      <c r="H16" s="785">
        <f t="shared" si="0"/>
        <v>160.51</v>
      </c>
      <c r="I16" s="235"/>
      <c r="J16" s="235"/>
      <c r="K16" s="325">
        <v>8.1999999999999993</v>
      </c>
      <c r="L16" s="326">
        <v>1.08</v>
      </c>
      <c r="M16" s="236">
        <v>-10</v>
      </c>
      <c r="N16" s="327">
        <f t="shared" si="2"/>
        <v>787.58999999999992</v>
      </c>
      <c r="O16" s="235"/>
      <c r="P16" s="328">
        <f t="shared" si="3"/>
        <v>190.89999999999998</v>
      </c>
      <c r="Q16" s="235"/>
      <c r="R16" s="235"/>
      <c r="S16" s="235"/>
      <c r="T16" s="236">
        <f t="shared" si="1"/>
        <v>21.11</v>
      </c>
      <c r="U16" s="235"/>
      <c r="V16" s="235"/>
      <c r="W16" s="235"/>
      <c r="X16" s="237">
        <f>(Z16-Y16)*ModulCD!$O$3*F16</f>
        <v>0</v>
      </c>
      <c r="Y16" s="238">
        <v>0</v>
      </c>
      <c r="Z16" s="71">
        <v>0</v>
      </c>
      <c r="AA16" s="162">
        <v>2024</v>
      </c>
      <c r="AB16" s="162"/>
      <c r="AC16" s="852"/>
      <c r="AD16" t="s">
        <v>726</v>
      </c>
      <c r="AE16" s="118"/>
      <c r="AF16" s="240"/>
    </row>
    <row r="17" spans="1:32" x14ac:dyDescent="0.25">
      <c r="A17" s="396"/>
      <c r="B17" s="323" t="s">
        <v>588</v>
      </c>
      <c r="C17" s="233" t="s">
        <v>467</v>
      </c>
      <c r="D17" s="818">
        <v>168.51</v>
      </c>
      <c r="E17" s="231" t="s">
        <v>467</v>
      </c>
      <c r="F17" s="586">
        <v>2400</v>
      </c>
      <c r="G17" s="784">
        <v>1</v>
      </c>
      <c r="H17" s="785">
        <f t="shared" si="0"/>
        <v>168.51</v>
      </c>
      <c r="I17" s="235"/>
      <c r="J17" s="235"/>
      <c r="K17" s="325">
        <v>8.1999999999999993</v>
      </c>
      <c r="L17" s="326">
        <v>1.08</v>
      </c>
      <c r="M17" s="236">
        <v>-10</v>
      </c>
      <c r="N17" s="327">
        <f t="shared" si="2"/>
        <v>787.58999999999992</v>
      </c>
      <c r="O17" s="235"/>
      <c r="P17" s="328">
        <f t="shared" si="3"/>
        <v>198.89999999999998</v>
      </c>
      <c r="Q17" s="235"/>
      <c r="R17" s="235"/>
      <c r="S17" s="235"/>
      <c r="T17" s="236">
        <f t="shared" si="1"/>
        <v>21.11</v>
      </c>
      <c r="U17" s="235"/>
      <c r="V17" s="235"/>
      <c r="W17" s="235"/>
      <c r="X17" s="237">
        <f>(Z17-Y17)*ModulCD!$O$3*F17</f>
        <v>0</v>
      </c>
      <c r="Y17" s="238">
        <v>0</v>
      </c>
      <c r="Z17" s="71">
        <v>0</v>
      </c>
      <c r="AA17" s="162">
        <v>2024</v>
      </c>
      <c r="AB17" s="162"/>
      <c r="AC17" s="852"/>
      <c r="AD17" t="s">
        <v>726</v>
      </c>
      <c r="AE17" s="118"/>
      <c r="AF17" s="240"/>
    </row>
    <row r="18" spans="1:32" x14ac:dyDescent="0.25">
      <c r="A18" s="396"/>
      <c r="B18" s="323" t="s">
        <v>589</v>
      </c>
      <c r="C18" s="233" t="s">
        <v>467</v>
      </c>
      <c r="D18" s="818">
        <v>186.09</v>
      </c>
      <c r="E18" s="231" t="s">
        <v>467</v>
      </c>
      <c r="F18" s="586">
        <v>2400</v>
      </c>
      <c r="G18" s="784">
        <v>1</v>
      </c>
      <c r="H18" s="785">
        <f t="shared" si="0"/>
        <v>186.09</v>
      </c>
      <c r="I18" s="235"/>
      <c r="J18" s="235"/>
      <c r="K18" s="325">
        <v>8.1999999999999993</v>
      </c>
      <c r="L18" s="326">
        <v>1.08</v>
      </c>
      <c r="M18" s="236">
        <v>-10</v>
      </c>
      <c r="N18" s="327">
        <f t="shared" si="2"/>
        <v>787.58999999999992</v>
      </c>
      <c r="O18" s="235"/>
      <c r="P18" s="328">
        <f t="shared" si="3"/>
        <v>216.48000000000002</v>
      </c>
      <c r="Q18" s="235"/>
      <c r="R18" s="235"/>
      <c r="S18" s="235"/>
      <c r="T18" s="236">
        <f t="shared" si="1"/>
        <v>21.11</v>
      </c>
      <c r="U18" s="235"/>
      <c r="V18" s="235"/>
      <c r="W18" s="235"/>
      <c r="X18" s="237">
        <f>(Z18-Y18)*ModulCD!$O$3*F18</f>
        <v>0</v>
      </c>
      <c r="Y18" s="238">
        <v>0</v>
      </c>
      <c r="Z18" s="71">
        <v>0</v>
      </c>
      <c r="AA18" s="162">
        <v>2024</v>
      </c>
      <c r="AB18" s="162"/>
      <c r="AC18" s="852"/>
      <c r="AD18" t="s">
        <v>726</v>
      </c>
      <c r="AE18" s="118"/>
      <c r="AF18" s="240"/>
    </row>
    <row r="19" spans="1:32" x14ac:dyDescent="0.25">
      <c r="A19" s="396"/>
      <c r="B19" s="323" t="s">
        <v>590</v>
      </c>
      <c r="C19" s="233" t="s">
        <v>467</v>
      </c>
      <c r="D19" s="818">
        <v>236.63</v>
      </c>
      <c r="E19" s="231" t="s">
        <v>467</v>
      </c>
      <c r="F19" s="586">
        <v>2400</v>
      </c>
      <c r="G19" s="784">
        <v>1</v>
      </c>
      <c r="H19" s="785">
        <f t="shared" si="0"/>
        <v>236.63</v>
      </c>
      <c r="I19" s="235"/>
      <c r="J19" s="235"/>
      <c r="K19" s="325">
        <v>8.1999999999999993</v>
      </c>
      <c r="L19" s="326">
        <v>1.08</v>
      </c>
      <c r="M19" s="236">
        <v>-10</v>
      </c>
      <c r="N19" s="327">
        <f t="shared" si="2"/>
        <v>787.58999999999992</v>
      </c>
      <c r="O19" s="235"/>
      <c r="P19" s="328">
        <f t="shared" si="3"/>
        <v>267.02</v>
      </c>
      <c r="Q19" s="235"/>
      <c r="R19" s="235"/>
      <c r="S19" s="235"/>
      <c r="T19" s="236">
        <f t="shared" si="1"/>
        <v>21.11</v>
      </c>
      <c r="U19" s="235"/>
      <c r="V19" s="235"/>
      <c r="W19" s="235"/>
      <c r="X19" s="237">
        <f>(Z19-Y19)*ModulCD!$O$3*F19</f>
        <v>0</v>
      </c>
      <c r="Y19" s="238">
        <v>0</v>
      </c>
      <c r="Z19" s="71">
        <v>0</v>
      </c>
      <c r="AA19" s="162">
        <v>2024</v>
      </c>
      <c r="AB19" s="162"/>
      <c r="AC19" s="852"/>
      <c r="AD19" t="s">
        <v>726</v>
      </c>
      <c r="AE19" s="118"/>
      <c r="AF19" s="240"/>
    </row>
    <row r="20" spans="1:32" x14ac:dyDescent="0.25">
      <c r="A20" s="396"/>
      <c r="B20" s="323" t="s">
        <v>591</v>
      </c>
      <c r="C20" s="233" t="s">
        <v>467</v>
      </c>
      <c r="D20" s="818">
        <v>252.28</v>
      </c>
      <c r="E20" s="231" t="s">
        <v>467</v>
      </c>
      <c r="F20" s="586">
        <v>2400</v>
      </c>
      <c r="G20" s="784">
        <v>1</v>
      </c>
      <c r="H20" s="785">
        <f t="shared" si="0"/>
        <v>252.28</v>
      </c>
      <c r="I20" s="235"/>
      <c r="J20" s="235"/>
      <c r="K20" s="325">
        <v>8.1999999999999993</v>
      </c>
      <c r="L20" s="331">
        <v>1.08</v>
      </c>
      <c r="M20" s="179">
        <v>-10</v>
      </c>
      <c r="N20" s="327">
        <f t="shared" si="2"/>
        <v>787.58999999999992</v>
      </c>
      <c r="O20" s="235"/>
      <c r="P20" s="328">
        <f t="shared" si="3"/>
        <v>282.67</v>
      </c>
      <c r="Q20" s="235"/>
      <c r="R20" s="235"/>
      <c r="S20" s="235"/>
      <c r="T20" s="236">
        <f t="shared" si="1"/>
        <v>21.11</v>
      </c>
      <c r="U20" s="235"/>
      <c r="V20" s="235"/>
      <c r="W20" s="235"/>
      <c r="X20" s="237">
        <f>(Z20-Y20)*ModulCD!$O$3*F20</f>
        <v>0</v>
      </c>
      <c r="Y20" s="238">
        <v>0</v>
      </c>
      <c r="Z20" s="71">
        <v>0</v>
      </c>
      <c r="AA20" s="162">
        <v>2024</v>
      </c>
      <c r="AB20" s="162"/>
      <c r="AC20" s="852"/>
      <c r="AD20" t="s">
        <v>726</v>
      </c>
      <c r="AE20" s="118"/>
      <c r="AF20" s="240"/>
    </row>
    <row r="21" spans="1:32" x14ac:dyDescent="0.25">
      <c r="A21" s="396"/>
      <c r="B21" s="323" t="s">
        <v>592</v>
      </c>
      <c r="C21" s="233" t="s">
        <v>467</v>
      </c>
      <c r="D21" s="818">
        <v>210.87</v>
      </c>
      <c r="E21" s="231" t="s">
        <v>467</v>
      </c>
      <c r="F21" s="586">
        <v>2400</v>
      </c>
      <c r="G21" s="784">
        <v>1</v>
      </c>
      <c r="H21" s="785">
        <f t="shared" si="0"/>
        <v>210.87</v>
      </c>
      <c r="I21" s="235"/>
      <c r="J21" s="235"/>
      <c r="K21" s="325">
        <v>8.1999999999999993</v>
      </c>
      <c r="L21" s="331">
        <v>1.08</v>
      </c>
      <c r="M21" s="179">
        <v>-10</v>
      </c>
      <c r="N21" s="327">
        <f t="shared" si="2"/>
        <v>787.58999999999992</v>
      </c>
      <c r="O21" s="235"/>
      <c r="P21" s="328">
        <f t="shared" si="3"/>
        <v>241.26</v>
      </c>
      <c r="Q21" s="235"/>
      <c r="R21" s="235"/>
      <c r="S21" s="235"/>
      <c r="T21" s="236">
        <f t="shared" si="1"/>
        <v>21.11</v>
      </c>
      <c r="U21" s="235"/>
      <c r="V21" s="235"/>
      <c r="W21" s="235"/>
      <c r="X21" s="237">
        <f>(Z21-Y21)*ModulCD!$O$3*F21</f>
        <v>0</v>
      </c>
      <c r="Y21" s="238">
        <v>0</v>
      </c>
      <c r="Z21" s="71">
        <v>0</v>
      </c>
      <c r="AA21" s="162">
        <v>2024</v>
      </c>
      <c r="AB21" s="162"/>
      <c r="AC21" s="852"/>
      <c r="AD21" t="s">
        <v>726</v>
      </c>
      <c r="AE21" s="118"/>
      <c r="AF21" s="240"/>
    </row>
    <row r="22" spans="1:32" x14ac:dyDescent="0.25">
      <c r="A22" s="396"/>
      <c r="B22" s="323" t="s">
        <v>593</v>
      </c>
      <c r="C22" s="233" t="s">
        <v>467</v>
      </c>
      <c r="D22" s="818">
        <v>235.3</v>
      </c>
      <c r="E22" s="231" t="s">
        <v>467</v>
      </c>
      <c r="F22" s="586">
        <v>2400</v>
      </c>
      <c r="G22" s="784">
        <v>1</v>
      </c>
      <c r="H22" s="785">
        <f t="shared" si="0"/>
        <v>235.3</v>
      </c>
      <c r="I22" s="235"/>
      <c r="J22" s="235"/>
      <c r="K22" s="325">
        <v>8.1999999999999993</v>
      </c>
      <c r="L22" s="331">
        <v>1.08</v>
      </c>
      <c r="M22" s="179">
        <v>-10</v>
      </c>
      <c r="N22" s="327">
        <f t="shared" si="2"/>
        <v>787.58999999999992</v>
      </c>
      <c r="O22" s="235"/>
      <c r="P22" s="328">
        <f t="shared" si="3"/>
        <v>265.69</v>
      </c>
      <c r="Q22" s="235"/>
      <c r="R22" s="235"/>
      <c r="S22" s="235"/>
      <c r="T22" s="236">
        <f t="shared" si="1"/>
        <v>21.11</v>
      </c>
      <c r="U22" s="235"/>
      <c r="V22" s="235"/>
      <c r="W22" s="235"/>
      <c r="X22" s="237">
        <f>(Z22-Y22)*ModulCD!$O$3*F22</f>
        <v>0</v>
      </c>
      <c r="Y22" s="238">
        <v>0</v>
      </c>
      <c r="Z22" s="71">
        <v>0</v>
      </c>
      <c r="AA22" s="162">
        <v>2024</v>
      </c>
      <c r="AB22" s="162"/>
      <c r="AC22" s="852"/>
      <c r="AD22" t="s">
        <v>726</v>
      </c>
      <c r="AE22" s="118"/>
      <c r="AF22" s="240"/>
    </row>
    <row r="23" spans="1:32" x14ac:dyDescent="0.25">
      <c r="A23" s="396"/>
      <c r="B23" s="323" t="s">
        <v>594</v>
      </c>
      <c r="C23" s="233" t="s">
        <v>467</v>
      </c>
      <c r="D23" s="818">
        <v>262.14</v>
      </c>
      <c r="E23" s="231" t="s">
        <v>467</v>
      </c>
      <c r="F23" s="586">
        <v>2400</v>
      </c>
      <c r="G23" s="784">
        <v>1</v>
      </c>
      <c r="H23" s="785">
        <f t="shared" si="0"/>
        <v>262.14</v>
      </c>
      <c r="I23" s="235"/>
      <c r="J23" s="235"/>
      <c r="K23" s="325">
        <v>8.1999999999999993</v>
      </c>
      <c r="L23" s="331">
        <v>1.08</v>
      </c>
      <c r="M23" s="179">
        <v>-10</v>
      </c>
      <c r="N23" s="327">
        <f t="shared" si="2"/>
        <v>787.58999999999992</v>
      </c>
      <c r="O23" s="235"/>
      <c r="P23" s="328">
        <f t="shared" si="3"/>
        <v>292.52999999999997</v>
      </c>
      <c r="Q23" s="235"/>
      <c r="R23" s="235"/>
      <c r="S23" s="235"/>
      <c r="T23" s="236">
        <f t="shared" si="1"/>
        <v>21.11</v>
      </c>
      <c r="U23" s="235"/>
      <c r="V23" s="235"/>
      <c r="W23" s="235"/>
      <c r="X23" s="237">
        <f>(Z23-Y23)*ModulCD!$O$3*F23</f>
        <v>0</v>
      </c>
      <c r="Y23" s="238">
        <v>0</v>
      </c>
      <c r="Z23" s="71">
        <v>0</v>
      </c>
      <c r="AA23" s="162">
        <v>2024</v>
      </c>
      <c r="AB23" s="162"/>
      <c r="AC23" s="852"/>
      <c r="AD23" t="s">
        <v>726</v>
      </c>
      <c r="AE23" s="118"/>
      <c r="AF23" s="240"/>
    </row>
    <row r="24" spans="1:32" x14ac:dyDescent="0.25">
      <c r="A24" s="396"/>
      <c r="B24" s="323" t="s">
        <v>595</v>
      </c>
      <c r="C24" s="233" t="s">
        <v>467</v>
      </c>
      <c r="D24" s="818">
        <v>182.64</v>
      </c>
      <c r="E24" s="231" t="s">
        <v>467</v>
      </c>
      <c r="F24" s="586">
        <v>2400</v>
      </c>
      <c r="G24" s="784">
        <v>1</v>
      </c>
      <c r="H24" s="785">
        <f t="shared" si="0"/>
        <v>182.64</v>
      </c>
      <c r="I24" s="235"/>
      <c r="J24" s="235"/>
      <c r="K24" s="325">
        <v>8.1999999999999993</v>
      </c>
      <c r="L24" s="326">
        <v>1.08</v>
      </c>
      <c r="M24" s="236">
        <v>-10</v>
      </c>
      <c r="N24" s="327">
        <f t="shared" si="2"/>
        <v>787.58999999999992</v>
      </c>
      <c r="O24" s="235"/>
      <c r="P24" s="328">
        <f t="shared" si="3"/>
        <v>213.02999999999997</v>
      </c>
      <c r="Q24" s="235"/>
      <c r="R24" s="235"/>
      <c r="S24" s="235"/>
      <c r="T24" s="236">
        <f t="shared" si="1"/>
        <v>21.11</v>
      </c>
      <c r="U24" s="235"/>
      <c r="V24" s="235"/>
      <c r="W24" s="235"/>
      <c r="X24" s="237">
        <f>(Z24-Y24)*ModulCD!$O$3*F24</f>
        <v>0</v>
      </c>
      <c r="Y24" s="238">
        <v>0</v>
      </c>
      <c r="Z24" s="71">
        <v>0</v>
      </c>
      <c r="AA24" s="162">
        <v>2024</v>
      </c>
      <c r="AB24" s="162"/>
      <c r="AC24" s="852"/>
      <c r="AD24" t="s">
        <v>726</v>
      </c>
      <c r="AE24" s="118"/>
      <c r="AF24" s="240"/>
    </row>
    <row r="25" spans="1:32" x14ac:dyDescent="0.25">
      <c r="A25" s="396"/>
      <c r="B25" s="323" t="s">
        <v>596</v>
      </c>
      <c r="C25" s="233" t="s">
        <v>467</v>
      </c>
      <c r="D25" s="818">
        <v>189.77</v>
      </c>
      <c r="E25" s="231" t="s">
        <v>467</v>
      </c>
      <c r="F25" s="586">
        <v>2400</v>
      </c>
      <c r="G25" s="784">
        <v>1</v>
      </c>
      <c r="H25" s="785">
        <f t="shared" si="0"/>
        <v>189.77</v>
      </c>
      <c r="I25" s="235"/>
      <c r="J25" s="235"/>
      <c r="K25" s="325">
        <v>8.1999999999999993</v>
      </c>
      <c r="L25" s="326">
        <v>1.08</v>
      </c>
      <c r="M25" s="236">
        <v>-10</v>
      </c>
      <c r="N25" s="327">
        <f t="shared" si="2"/>
        <v>787.58999999999992</v>
      </c>
      <c r="O25" s="235"/>
      <c r="P25" s="328">
        <f t="shared" si="3"/>
        <v>220.16000000000003</v>
      </c>
      <c r="Q25" s="235"/>
      <c r="R25" s="235"/>
      <c r="S25" s="235"/>
      <c r="T25" s="236">
        <f t="shared" si="1"/>
        <v>21.11</v>
      </c>
      <c r="U25" s="235"/>
      <c r="V25" s="235"/>
      <c r="W25" s="235"/>
      <c r="X25" s="237">
        <f>(Z25-Y25)*ModulCD!$O$3*F25</f>
        <v>0</v>
      </c>
      <c r="Y25" s="238">
        <v>0</v>
      </c>
      <c r="Z25" s="71">
        <v>0</v>
      </c>
      <c r="AA25" s="162">
        <v>2024</v>
      </c>
      <c r="AB25" s="162"/>
      <c r="AC25" s="852"/>
      <c r="AD25" t="s">
        <v>726</v>
      </c>
      <c r="AE25" s="118"/>
      <c r="AF25" s="240"/>
    </row>
    <row r="26" spans="1:32" x14ac:dyDescent="0.25">
      <c r="A26" s="396"/>
      <c r="B26" s="323" t="s">
        <v>597</v>
      </c>
      <c r="C26" s="233" t="s">
        <v>467</v>
      </c>
      <c r="D26" s="818">
        <v>235.39</v>
      </c>
      <c r="E26" s="231" t="s">
        <v>467</v>
      </c>
      <c r="F26" s="586">
        <v>2400</v>
      </c>
      <c r="G26" s="784">
        <v>1</v>
      </c>
      <c r="H26" s="785">
        <f t="shared" si="0"/>
        <v>235.39</v>
      </c>
      <c r="I26" s="235"/>
      <c r="J26" s="235"/>
      <c r="K26" s="325">
        <v>8.1999999999999993</v>
      </c>
      <c r="L26" s="326">
        <v>1.08</v>
      </c>
      <c r="M26" s="236">
        <v>-10</v>
      </c>
      <c r="N26" s="327">
        <f t="shared" si="2"/>
        <v>787.58999999999992</v>
      </c>
      <c r="O26" s="235"/>
      <c r="P26" s="328">
        <f t="shared" si="3"/>
        <v>265.77999999999997</v>
      </c>
      <c r="Q26" s="235"/>
      <c r="R26" s="235"/>
      <c r="S26" s="235"/>
      <c r="T26" s="236">
        <f t="shared" si="1"/>
        <v>21.11</v>
      </c>
      <c r="U26" s="235"/>
      <c r="V26" s="235"/>
      <c r="W26" s="235"/>
      <c r="X26" s="237">
        <f>(Z26-Y26)*ModulCD!$O$3*F26</f>
        <v>0</v>
      </c>
      <c r="Y26" s="238">
        <v>0</v>
      </c>
      <c r="Z26" s="71">
        <v>0</v>
      </c>
      <c r="AA26" s="162">
        <v>2024</v>
      </c>
      <c r="AB26" s="162"/>
      <c r="AC26" s="852"/>
      <c r="AD26" t="s">
        <v>726</v>
      </c>
      <c r="AE26" s="118"/>
      <c r="AF26" s="240"/>
    </row>
    <row r="27" spans="1:32" x14ac:dyDescent="0.25">
      <c r="A27" s="396"/>
      <c r="B27" s="323" t="s">
        <v>598</v>
      </c>
      <c r="C27" s="233" t="s">
        <v>467</v>
      </c>
      <c r="D27" s="818">
        <v>254.34</v>
      </c>
      <c r="E27" s="231" t="s">
        <v>467</v>
      </c>
      <c r="F27" s="586">
        <v>2400</v>
      </c>
      <c r="G27" s="784">
        <v>1</v>
      </c>
      <c r="H27" s="785">
        <f t="shared" si="0"/>
        <v>254.34</v>
      </c>
      <c r="I27" s="235"/>
      <c r="J27" s="235"/>
      <c r="K27" s="325">
        <v>8.1999999999999993</v>
      </c>
      <c r="L27" s="326">
        <v>1.08</v>
      </c>
      <c r="M27" s="236">
        <v>-10</v>
      </c>
      <c r="N27" s="327">
        <f t="shared" si="2"/>
        <v>787.58999999999992</v>
      </c>
      <c r="O27" s="235"/>
      <c r="P27" s="328">
        <f t="shared" si="3"/>
        <v>284.73</v>
      </c>
      <c r="Q27" s="235"/>
      <c r="R27" s="235"/>
      <c r="S27" s="235"/>
      <c r="T27" s="236">
        <f t="shared" si="1"/>
        <v>21.11</v>
      </c>
      <c r="U27" s="235"/>
      <c r="V27" s="235"/>
      <c r="W27" s="235"/>
      <c r="X27" s="237">
        <f>(Z27-Y27)*ModulCD!$O$3*F27</f>
        <v>0</v>
      </c>
      <c r="Y27" s="238">
        <v>0</v>
      </c>
      <c r="Z27" s="71">
        <v>0</v>
      </c>
      <c r="AA27" s="162">
        <v>2024</v>
      </c>
      <c r="AB27" s="162"/>
      <c r="AC27" s="852"/>
      <c r="AD27" t="s">
        <v>726</v>
      </c>
      <c r="AE27" s="118"/>
      <c r="AF27" s="240"/>
    </row>
    <row r="28" spans="1:32" x14ac:dyDescent="0.25">
      <c r="A28" s="396"/>
      <c r="B28" s="323" t="s">
        <v>599</v>
      </c>
      <c r="C28" s="233" t="s">
        <v>467</v>
      </c>
      <c r="D28" s="818">
        <v>201.1</v>
      </c>
      <c r="E28" s="231" t="s">
        <v>467</v>
      </c>
      <c r="F28" s="586">
        <v>2400</v>
      </c>
      <c r="G28" s="784">
        <v>1</v>
      </c>
      <c r="H28" s="785">
        <f t="shared" si="0"/>
        <v>201.1</v>
      </c>
      <c r="I28" s="235"/>
      <c r="J28" s="235"/>
      <c r="K28" s="325">
        <v>8.1999999999999993</v>
      </c>
      <c r="L28" s="331">
        <v>1.08</v>
      </c>
      <c r="M28" s="179">
        <v>-10</v>
      </c>
      <c r="N28" s="327">
        <f t="shared" si="2"/>
        <v>787.58999999999992</v>
      </c>
      <c r="O28" s="235"/>
      <c r="P28" s="328">
        <f t="shared" si="3"/>
        <v>231.49</v>
      </c>
      <c r="Q28" s="235"/>
      <c r="R28" s="235"/>
      <c r="S28" s="235"/>
      <c r="T28" s="236">
        <f t="shared" si="1"/>
        <v>21.11</v>
      </c>
      <c r="U28" s="235"/>
      <c r="V28" s="235"/>
      <c r="W28" s="235"/>
      <c r="X28" s="237">
        <f>(Z28-Y28)*ModulCD!$O$3*F28</f>
        <v>0</v>
      </c>
      <c r="Y28" s="238">
        <v>0</v>
      </c>
      <c r="Z28" s="71">
        <v>0</v>
      </c>
      <c r="AA28" s="162">
        <v>2024</v>
      </c>
      <c r="AB28" s="162"/>
      <c r="AC28" s="852"/>
      <c r="AD28" t="s">
        <v>726</v>
      </c>
      <c r="AE28" s="118"/>
      <c r="AF28" s="240"/>
    </row>
    <row r="29" spans="1:32" x14ac:dyDescent="0.25">
      <c r="A29" s="396"/>
      <c r="B29" s="323" t="s">
        <v>600</v>
      </c>
      <c r="C29" s="233" t="s">
        <v>467</v>
      </c>
      <c r="D29" s="818">
        <v>215.19</v>
      </c>
      <c r="E29" s="231" t="s">
        <v>467</v>
      </c>
      <c r="F29" s="586">
        <v>2400</v>
      </c>
      <c r="G29" s="784">
        <v>1</v>
      </c>
      <c r="H29" s="785">
        <f t="shared" si="0"/>
        <v>215.19</v>
      </c>
      <c r="I29" s="235"/>
      <c r="J29" s="235"/>
      <c r="K29" s="325">
        <v>8.1999999999999993</v>
      </c>
      <c r="L29" s="331">
        <v>1.08</v>
      </c>
      <c r="M29" s="179">
        <v>-10</v>
      </c>
      <c r="N29" s="327">
        <f t="shared" si="2"/>
        <v>787.58999999999992</v>
      </c>
      <c r="O29" s="235"/>
      <c r="P29" s="328">
        <f t="shared" si="3"/>
        <v>245.57999999999998</v>
      </c>
      <c r="Q29" s="235"/>
      <c r="R29" s="235"/>
      <c r="S29" s="235"/>
      <c r="T29" s="236">
        <f t="shared" si="1"/>
        <v>21.11</v>
      </c>
      <c r="U29" s="235"/>
      <c r="V29" s="235"/>
      <c r="W29" s="235"/>
      <c r="X29" s="237">
        <f>(Z29-Y29)*ModulCD!$O$3*F29</f>
        <v>0</v>
      </c>
      <c r="Y29" s="238">
        <v>0</v>
      </c>
      <c r="Z29" s="71">
        <v>0</v>
      </c>
      <c r="AA29" s="162">
        <v>2024</v>
      </c>
      <c r="AB29" s="162"/>
      <c r="AC29" s="852"/>
      <c r="AD29" t="s">
        <v>726</v>
      </c>
      <c r="AE29" s="118"/>
      <c r="AF29" s="240"/>
    </row>
    <row r="30" spans="1:32" x14ac:dyDescent="0.25">
      <c r="A30" s="396"/>
      <c r="B30" s="323" t="s">
        <v>601</v>
      </c>
      <c r="C30" s="233" t="s">
        <v>467</v>
      </c>
      <c r="D30" s="818">
        <v>173.88</v>
      </c>
      <c r="E30" s="231" t="s">
        <v>467</v>
      </c>
      <c r="F30" s="586">
        <v>2400</v>
      </c>
      <c r="G30" s="784">
        <v>1</v>
      </c>
      <c r="H30" s="785">
        <f t="shared" si="0"/>
        <v>173.88</v>
      </c>
      <c r="I30" s="235"/>
      <c r="J30" s="235"/>
      <c r="K30" s="325">
        <v>8.1999999999999993</v>
      </c>
      <c r="L30" s="331">
        <v>1.08</v>
      </c>
      <c r="M30" s="179">
        <v>-10</v>
      </c>
      <c r="N30" s="327">
        <f t="shared" si="2"/>
        <v>787.58999999999992</v>
      </c>
      <c r="O30" s="235"/>
      <c r="P30" s="328">
        <f t="shared" si="3"/>
        <v>204.26999999999998</v>
      </c>
      <c r="Q30" s="235"/>
      <c r="R30" s="235"/>
      <c r="S30" s="235"/>
      <c r="T30" s="236">
        <f t="shared" si="1"/>
        <v>21.11</v>
      </c>
      <c r="U30" s="235"/>
      <c r="V30" s="235"/>
      <c r="W30" s="235"/>
      <c r="X30" s="237">
        <f>(Z30-Y30)*ModulCD!$O$3*F30</f>
        <v>0</v>
      </c>
      <c r="Y30" s="238">
        <v>0</v>
      </c>
      <c r="Z30" s="71">
        <v>0</v>
      </c>
      <c r="AA30" s="162">
        <v>2024</v>
      </c>
      <c r="AB30" s="162"/>
      <c r="AC30" s="852"/>
      <c r="AD30" t="s">
        <v>726</v>
      </c>
      <c r="AE30" s="118"/>
      <c r="AF30" s="240"/>
    </row>
    <row r="31" spans="1:32" x14ac:dyDescent="0.25">
      <c r="A31" s="396"/>
      <c r="B31" s="323" t="s">
        <v>602</v>
      </c>
      <c r="C31" s="233" t="s">
        <v>467</v>
      </c>
      <c r="D31" s="818">
        <v>179.35</v>
      </c>
      <c r="E31" s="231" t="s">
        <v>467</v>
      </c>
      <c r="F31" s="586">
        <v>2400</v>
      </c>
      <c r="G31" s="784">
        <v>1</v>
      </c>
      <c r="H31" s="785">
        <f t="shared" si="0"/>
        <v>179.35</v>
      </c>
      <c r="I31" s="235"/>
      <c r="J31" s="235"/>
      <c r="K31" s="325">
        <v>8.1999999999999993</v>
      </c>
      <c r="L31" s="331">
        <v>1.08</v>
      </c>
      <c r="M31" s="179">
        <v>-10</v>
      </c>
      <c r="N31" s="327">
        <f t="shared" si="2"/>
        <v>787.58999999999992</v>
      </c>
      <c r="O31" s="235"/>
      <c r="P31" s="328">
        <f t="shared" si="3"/>
        <v>209.74</v>
      </c>
      <c r="Q31" s="235"/>
      <c r="R31" s="235"/>
      <c r="S31" s="235"/>
      <c r="T31" s="236">
        <f t="shared" si="1"/>
        <v>21.11</v>
      </c>
      <c r="U31" s="235"/>
      <c r="V31" s="235"/>
      <c r="W31" s="235"/>
      <c r="X31" s="237">
        <f>(Z31-Y31)*ModulCD!$O$3*F31</f>
        <v>0</v>
      </c>
      <c r="Y31" s="238">
        <v>0</v>
      </c>
      <c r="Z31" s="71">
        <v>0</v>
      </c>
      <c r="AA31" s="162">
        <v>2024</v>
      </c>
      <c r="AB31" s="162"/>
      <c r="AC31" s="852"/>
      <c r="AD31" t="s">
        <v>726</v>
      </c>
      <c r="AE31" s="118"/>
      <c r="AF31" s="240"/>
    </row>
    <row r="32" spans="1:32" ht="18" customHeight="1" x14ac:dyDescent="0.25">
      <c r="A32" s="322"/>
      <c r="B32" s="323" t="s">
        <v>603</v>
      </c>
      <c r="C32" s="233" t="s">
        <v>467</v>
      </c>
      <c r="D32" s="818">
        <v>185.57</v>
      </c>
      <c r="E32" s="231" t="s">
        <v>467</v>
      </c>
      <c r="F32" s="586">
        <v>2400</v>
      </c>
      <c r="G32" s="784">
        <v>1</v>
      </c>
      <c r="H32" s="785">
        <f t="shared" ref="H32:H61" si="4">$D$4*D32</f>
        <v>185.57</v>
      </c>
      <c r="I32" s="235"/>
      <c r="J32" s="235"/>
      <c r="K32" s="325">
        <v>8.1999999999999993</v>
      </c>
      <c r="L32" s="326">
        <v>1.08</v>
      </c>
      <c r="M32" s="236">
        <v>-10</v>
      </c>
      <c r="N32" s="327">
        <f t="shared" si="2"/>
        <v>787.58999999999992</v>
      </c>
      <c r="O32" s="235"/>
      <c r="P32" s="328">
        <f t="shared" ref="P32:P66" si="5">SUM(H32:L32,T32)</f>
        <v>215.95999999999998</v>
      </c>
      <c r="Q32" s="235"/>
      <c r="R32" s="235"/>
      <c r="S32" s="235"/>
      <c r="T32" s="236">
        <f t="shared" ref="T32:T324" si="6">3.1+12+6.01</f>
        <v>21.11</v>
      </c>
      <c r="U32" s="235"/>
      <c r="V32" s="235"/>
      <c r="W32" s="235"/>
      <c r="X32" s="237">
        <f>(Z32-Y32)*ModulCD!$O$3*F32</f>
        <v>0</v>
      </c>
      <c r="Y32" s="238">
        <v>0</v>
      </c>
      <c r="Z32" s="71">
        <v>0</v>
      </c>
      <c r="AA32" s="162">
        <v>2024</v>
      </c>
      <c r="AB32" s="162"/>
      <c r="AC32" s="852"/>
      <c r="AD32" t="s">
        <v>726</v>
      </c>
      <c r="AE32" s="240" t="s">
        <v>65</v>
      </c>
      <c r="AF32" s="218"/>
    </row>
    <row r="33" spans="1:32" x14ac:dyDescent="0.25">
      <c r="A33" s="322"/>
      <c r="B33" s="323" t="s">
        <v>604</v>
      </c>
      <c r="C33" s="233" t="s">
        <v>467</v>
      </c>
      <c r="D33" s="818">
        <v>182.27</v>
      </c>
      <c r="E33" s="231" t="s">
        <v>467</v>
      </c>
      <c r="F33" s="586">
        <v>2400</v>
      </c>
      <c r="G33" s="784">
        <v>1</v>
      </c>
      <c r="H33" s="785">
        <f t="shared" si="4"/>
        <v>182.27</v>
      </c>
      <c r="I33" s="235"/>
      <c r="J33" s="235"/>
      <c r="K33" s="325">
        <v>8.1999999999999993</v>
      </c>
      <c r="L33" s="326">
        <v>1.08</v>
      </c>
      <c r="M33" s="236">
        <v>-10</v>
      </c>
      <c r="N33" s="327">
        <f t="shared" si="2"/>
        <v>787.58999999999992</v>
      </c>
      <c r="O33" s="235"/>
      <c r="P33" s="328">
        <f t="shared" si="5"/>
        <v>212.66000000000003</v>
      </c>
      <c r="Q33" s="235"/>
      <c r="R33" s="235"/>
      <c r="S33" s="235"/>
      <c r="T33" s="236">
        <f t="shared" si="6"/>
        <v>21.11</v>
      </c>
      <c r="U33" s="235"/>
      <c r="V33" s="235"/>
      <c r="W33" s="235"/>
      <c r="X33" s="237">
        <f>(Z33-Y33)*ModulCD!$O$3*F33</f>
        <v>0</v>
      </c>
      <c r="Y33" s="238">
        <v>0</v>
      </c>
      <c r="Z33" s="71">
        <v>0</v>
      </c>
      <c r="AA33" s="162">
        <v>2024</v>
      </c>
      <c r="AB33" s="162"/>
      <c r="AC33" s="852"/>
      <c r="AD33" t="s">
        <v>726</v>
      </c>
      <c r="AF33" s="218"/>
    </row>
    <row r="34" spans="1:32" x14ac:dyDescent="0.25">
      <c r="A34" s="322"/>
      <c r="B34" s="323" t="s">
        <v>605</v>
      </c>
      <c r="C34" s="233" t="s">
        <v>467</v>
      </c>
      <c r="D34" s="818">
        <v>174.37</v>
      </c>
      <c r="E34" s="231" t="s">
        <v>467</v>
      </c>
      <c r="F34" s="586">
        <v>2400</v>
      </c>
      <c r="G34" s="784">
        <v>1</v>
      </c>
      <c r="H34" s="785">
        <f t="shared" si="4"/>
        <v>174.37</v>
      </c>
      <c r="I34" s="235"/>
      <c r="J34" s="235"/>
      <c r="K34" s="325">
        <v>8.1999999999999993</v>
      </c>
      <c r="L34" s="326">
        <v>1.08</v>
      </c>
      <c r="M34" s="236">
        <v>-10</v>
      </c>
      <c r="N34" s="327">
        <f t="shared" si="2"/>
        <v>787.58999999999992</v>
      </c>
      <c r="O34" s="235"/>
      <c r="P34" s="328">
        <f t="shared" si="5"/>
        <v>204.76</v>
      </c>
      <c r="Q34" s="235"/>
      <c r="R34" s="235"/>
      <c r="S34" s="235"/>
      <c r="T34" s="236">
        <f t="shared" si="6"/>
        <v>21.11</v>
      </c>
      <c r="U34" s="235"/>
      <c r="V34" s="235"/>
      <c r="W34" s="235"/>
      <c r="X34" s="237">
        <f>(Z34-Y34)*ModulCD!$O$3*F34</f>
        <v>0</v>
      </c>
      <c r="Y34" s="238">
        <v>0</v>
      </c>
      <c r="Z34" s="71">
        <v>0</v>
      </c>
      <c r="AA34" s="162">
        <v>2024</v>
      </c>
      <c r="AB34" s="162"/>
      <c r="AC34" s="852"/>
      <c r="AD34" t="s">
        <v>726</v>
      </c>
      <c r="AF34" s="218"/>
    </row>
    <row r="35" spans="1:32" x14ac:dyDescent="0.25">
      <c r="A35" s="329"/>
      <c r="B35" s="323" t="s">
        <v>606</v>
      </c>
      <c r="C35" s="233" t="s">
        <v>467</v>
      </c>
      <c r="D35" s="818">
        <v>172.83</v>
      </c>
      <c r="E35" s="231" t="s">
        <v>467</v>
      </c>
      <c r="F35" s="586">
        <v>2400</v>
      </c>
      <c r="G35" s="784">
        <v>1</v>
      </c>
      <c r="H35" s="785">
        <f t="shared" si="4"/>
        <v>172.83</v>
      </c>
      <c r="I35" s="235"/>
      <c r="J35" s="235"/>
      <c r="K35" s="325">
        <v>8.1999999999999993</v>
      </c>
      <c r="L35" s="326">
        <v>1.08</v>
      </c>
      <c r="M35" s="236">
        <v>-10</v>
      </c>
      <c r="N35" s="327">
        <f t="shared" si="2"/>
        <v>787.58999999999992</v>
      </c>
      <c r="O35" s="235"/>
      <c r="P35" s="328">
        <f t="shared" si="5"/>
        <v>203.22000000000003</v>
      </c>
      <c r="Q35" s="235"/>
      <c r="R35" s="235"/>
      <c r="S35" s="235"/>
      <c r="T35" s="236">
        <f t="shared" si="6"/>
        <v>21.11</v>
      </c>
      <c r="U35" s="235"/>
      <c r="V35" s="235"/>
      <c r="W35" s="235"/>
      <c r="X35" s="237">
        <f>(Z35-Y35)*ModulCD!$O$3*F35</f>
        <v>0</v>
      </c>
      <c r="Y35" s="238">
        <v>0</v>
      </c>
      <c r="Z35" s="71">
        <v>0</v>
      </c>
      <c r="AA35" s="162">
        <v>2024</v>
      </c>
      <c r="AB35" s="162"/>
      <c r="AC35" s="852"/>
      <c r="AD35" t="s">
        <v>726</v>
      </c>
      <c r="AF35" s="218" t="s">
        <v>67</v>
      </c>
    </row>
    <row r="36" spans="1:32" x14ac:dyDescent="0.25">
      <c r="A36" s="120"/>
      <c r="B36" s="323" t="s">
        <v>607</v>
      </c>
      <c r="C36" s="233" t="s">
        <v>467</v>
      </c>
      <c r="D36" s="818">
        <v>172.31</v>
      </c>
      <c r="E36" s="231" t="s">
        <v>467</v>
      </c>
      <c r="F36" s="586">
        <v>2400</v>
      </c>
      <c r="G36" s="784">
        <v>1</v>
      </c>
      <c r="H36" s="785">
        <f t="shared" si="4"/>
        <v>172.31</v>
      </c>
      <c r="I36" s="180"/>
      <c r="J36" s="180"/>
      <c r="K36" s="325">
        <v>8.1999999999999993</v>
      </c>
      <c r="L36" s="331">
        <v>1.08</v>
      </c>
      <c r="M36" s="179">
        <v>-10</v>
      </c>
      <c r="N36" s="327">
        <f t="shared" si="2"/>
        <v>787.58999999999992</v>
      </c>
      <c r="O36" s="235"/>
      <c r="P36" s="328">
        <f t="shared" si="5"/>
        <v>202.7</v>
      </c>
      <c r="Q36" s="235"/>
      <c r="R36" s="235"/>
      <c r="S36" s="235"/>
      <c r="T36" s="236">
        <f>3.1+12+6.01</f>
        <v>21.11</v>
      </c>
      <c r="U36" s="235"/>
      <c r="V36" s="235"/>
      <c r="W36" s="235"/>
      <c r="X36" s="237">
        <f>(Z36-Y36)*ModulCD!$O$3*F36</f>
        <v>0</v>
      </c>
      <c r="Y36" s="238">
        <v>0</v>
      </c>
      <c r="Z36" s="71">
        <v>0</v>
      </c>
      <c r="AA36" s="162">
        <v>2024</v>
      </c>
      <c r="AB36" s="162"/>
      <c r="AC36" s="852"/>
      <c r="AD36" t="s">
        <v>726</v>
      </c>
      <c r="AF36" s="240"/>
    </row>
    <row r="37" spans="1:32" x14ac:dyDescent="0.25">
      <c r="A37" s="329"/>
      <c r="B37" s="323" t="s">
        <v>608</v>
      </c>
      <c r="C37" s="233" t="s">
        <v>467</v>
      </c>
      <c r="D37" s="818">
        <v>197.09</v>
      </c>
      <c r="E37" s="231" t="s">
        <v>467</v>
      </c>
      <c r="F37" s="586">
        <v>2400</v>
      </c>
      <c r="G37" s="784">
        <v>1</v>
      </c>
      <c r="H37" s="785">
        <f t="shared" si="4"/>
        <v>197.09</v>
      </c>
      <c r="I37" s="180"/>
      <c r="J37" s="180"/>
      <c r="K37" s="325">
        <v>8.1999999999999993</v>
      </c>
      <c r="L37" s="331">
        <v>1.08</v>
      </c>
      <c r="M37" s="179">
        <v>-10</v>
      </c>
      <c r="N37" s="327">
        <f t="shared" si="2"/>
        <v>787.58999999999992</v>
      </c>
      <c r="O37" s="235"/>
      <c r="P37" s="328">
        <f t="shared" si="5"/>
        <v>227.48000000000002</v>
      </c>
      <c r="Q37" s="235"/>
      <c r="R37" s="235"/>
      <c r="S37" s="235"/>
      <c r="T37" s="236">
        <f t="shared" si="6"/>
        <v>21.11</v>
      </c>
      <c r="U37" s="235"/>
      <c r="V37" s="235"/>
      <c r="W37" s="235"/>
      <c r="X37" s="237">
        <f>(Z37-Y37)*ModulCD!$O$3*F37</f>
        <v>0</v>
      </c>
      <c r="Y37" s="238">
        <v>0</v>
      </c>
      <c r="Z37" s="71">
        <v>0</v>
      </c>
      <c r="AA37" s="162">
        <v>2024</v>
      </c>
      <c r="AB37" s="162"/>
      <c r="AC37" s="852"/>
      <c r="AD37" t="s">
        <v>726</v>
      </c>
      <c r="AF37" s="240"/>
    </row>
    <row r="38" spans="1:32" x14ac:dyDescent="0.25">
      <c r="A38" s="330"/>
      <c r="B38" s="323" t="s">
        <v>609</v>
      </c>
      <c r="C38" s="233" t="s">
        <v>467</v>
      </c>
      <c r="D38" s="818">
        <v>180.89</v>
      </c>
      <c r="E38" s="231" t="s">
        <v>467</v>
      </c>
      <c r="F38" s="586">
        <v>2400</v>
      </c>
      <c r="G38" s="784">
        <v>1</v>
      </c>
      <c r="H38" s="785">
        <f t="shared" si="4"/>
        <v>180.89</v>
      </c>
      <c r="I38" s="180"/>
      <c r="J38" s="180"/>
      <c r="K38" s="325">
        <v>8.1999999999999993</v>
      </c>
      <c r="L38" s="331">
        <v>1.08</v>
      </c>
      <c r="M38" s="179">
        <v>-10</v>
      </c>
      <c r="N38" s="327">
        <f t="shared" si="2"/>
        <v>787.58999999999992</v>
      </c>
      <c r="O38" s="235"/>
      <c r="P38" s="328">
        <f t="shared" si="5"/>
        <v>211.27999999999997</v>
      </c>
      <c r="Q38" s="235"/>
      <c r="R38" s="235"/>
      <c r="S38" s="235"/>
      <c r="T38" s="236">
        <f t="shared" si="6"/>
        <v>21.11</v>
      </c>
      <c r="U38" s="235"/>
      <c r="V38" s="235"/>
      <c r="W38" s="235"/>
      <c r="X38" s="237">
        <f>(Z38-Y38)*ModulCD!$O$3*F38</f>
        <v>0</v>
      </c>
      <c r="Y38" s="238">
        <v>0</v>
      </c>
      <c r="Z38" s="71">
        <v>0</v>
      </c>
      <c r="AA38" s="162">
        <v>2024</v>
      </c>
      <c r="AB38" s="162"/>
      <c r="AC38" s="852"/>
      <c r="AD38" t="s">
        <v>726</v>
      </c>
      <c r="AF38" s="240"/>
    </row>
    <row r="39" spans="1:32" x14ac:dyDescent="0.25">
      <c r="A39" s="330"/>
      <c r="B39" s="323" t="s">
        <v>610</v>
      </c>
      <c r="C39" s="233" t="s">
        <v>467</v>
      </c>
      <c r="D39" s="818">
        <v>148.58000000000001</v>
      </c>
      <c r="E39" s="231" t="s">
        <v>467</v>
      </c>
      <c r="F39" s="586">
        <v>2400</v>
      </c>
      <c r="G39" s="784">
        <v>1</v>
      </c>
      <c r="H39" s="785">
        <f t="shared" si="4"/>
        <v>148.58000000000001</v>
      </c>
      <c r="I39" s="180"/>
      <c r="J39" s="180"/>
      <c r="K39" s="325">
        <v>8.1999999999999993</v>
      </c>
      <c r="L39" s="331">
        <v>1.08</v>
      </c>
      <c r="M39" s="179">
        <v>-10</v>
      </c>
      <c r="N39" s="327">
        <f t="shared" si="2"/>
        <v>787.58999999999992</v>
      </c>
      <c r="O39" s="235"/>
      <c r="P39" s="328">
        <f t="shared" si="5"/>
        <v>178.97000000000003</v>
      </c>
      <c r="Q39" s="235"/>
      <c r="R39" s="235"/>
      <c r="S39" s="235"/>
      <c r="T39" s="236">
        <f t="shared" si="6"/>
        <v>21.11</v>
      </c>
      <c r="U39" s="235"/>
      <c r="V39" s="235"/>
      <c r="W39" s="235"/>
      <c r="X39" s="237">
        <f>(Z39-Y39)*ModulCD!$O$3*F39</f>
        <v>0</v>
      </c>
      <c r="Y39" s="238">
        <v>0</v>
      </c>
      <c r="Z39" s="71">
        <v>0</v>
      </c>
      <c r="AA39" s="162">
        <v>2024</v>
      </c>
      <c r="AB39" s="162"/>
      <c r="AC39" s="852"/>
      <c r="AD39" t="s">
        <v>726</v>
      </c>
      <c r="AF39" s="240"/>
    </row>
    <row r="40" spans="1:32" x14ac:dyDescent="0.25">
      <c r="A40" s="330"/>
      <c r="B40" s="323" t="s">
        <v>611</v>
      </c>
      <c r="C40" s="233" t="s">
        <v>467</v>
      </c>
      <c r="D40" s="818">
        <v>166.85</v>
      </c>
      <c r="E40" s="231" t="s">
        <v>467</v>
      </c>
      <c r="F40" s="586">
        <v>2400</v>
      </c>
      <c r="G40" s="784">
        <v>1</v>
      </c>
      <c r="H40" s="785">
        <f t="shared" si="4"/>
        <v>166.85</v>
      </c>
      <c r="I40" s="180"/>
      <c r="J40" s="180"/>
      <c r="K40" s="325">
        <v>8.1999999999999993</v>
      </c>
      <c r="L40" s="326">
        <v>1.08</v>
      </c>
      <c r="M40" s="236">
        <v>-10</v>
      </c>
      <c r="N40" s="327">
        <f t="shared" ref="N40:N66" si="7">$H$66+SUM(K40:M40,T40)</f>
        <v>787.58999999999992</v>
      </c>
      <c r="O40" s="235"/>
      <c r="P40" s="328">
        <f t="shared" si="5"/>
        <v>197.24</v>
      </c>
      <c r="Q40" s="235"/>
      <c r="R40" s="235"/>
      <c r="S40" s="235"/>
      <c r="T40" s="236">
        <f t="shared" si="6"/>
        <v>21.11</v>
      </c>
      <c r="U40" s="235"/>
      <c r="V40" s="235"/>
      <c r="W40" s="235"/>
      <c r="X40" s="237">
        <f>(Z40-Y40)*ModulCD!$O$3*F40</f>
        <v>0</v>
      </c>
      <c r="Y40" s="238">
        <v>0</v>
      </c>
      <c r="Z40" s="71">
        <v>0</v>
      </c>
      <c r="AA40" s="162">
        <v>2024</v>
      </c>
      <c r="AB40" s="162"/>
      <c r="AC40" s="852"/>
      <c r="AD40" t="s">
        <v>726</v>
      </c>
      <c r="AF40" s="240"/>
    </row>
    <row r="41" spans="1:32" x14ac:dyDescent="0.25">
      <c r="A41" s="330"/>
      <c r="B41" s="323" t="s">
        <v>612</v>
      </c>
      <c r="C41" s="233" t="s">
        <v>467</v>
      </c>
      <c r="D41" s="818">
        <v>159.12</v>
      </c>
      <c r="E41" s="231" t="s">
        <v>467</v>
      </c>
      <c r="F41" s="586">
        <v>2400</v>
      </c>
      <c r="G41" s="784">
        <v>1</v>
      </c>
      <c r="H41" s="785">
        <f t="shared" si="4"/>
        <v>159.12</v>
      </c>
      <c r="I41" s="180"/>
      <c r="J41" s="180"/>
      <c r="K41" s="325">
        <v>8.1999999999999993</v>
      </c>
      <c r="L41" s="326">
        <v>1.08</v>
      </c>
      <c r="M41" s="236">
        <v>-10</v>
      </c>
      <c r="N41" s="327">
        <f t="shared" si="7"/>
        <v>787.58999999999992</v>
      </c>
      <c r="O41" s="235"/>
      <c r="P41" s="328">
        <f t="shared" si="5"/>
        <v>189.51</v>
      </c>
      <c r="Q41" s="235"/>
      <c r="R41" s="235"/>
      <c r="S41" s="235"/>
      <c r="T41" s="236">
        <f t="shared" si="6"/>
        <v>21.11</v>
      </c>
      <c r="U41" s="235"/>
      <c r="V41" s="235"/>
      <c r="W41" s="235"/>
      <c r="X41" s="237">
        <f>(Z41-Y41)*ModulCD!$O$3*F41</f>
        <v>0</v>
      </c>
      <c r="Y41" s="238">
        <v>0</v>
      </c>
      <c r="Z41" s="71">
        <v>0</v>
      </c>
      <c r="AA41" s="162">
        <v>2024</v>
      </c>
      <c r="AB41" s="162"/>
      <c r="AC41" s="852"/>
      <c r="AD41" t="s">
        <v>726</v>
      </c>
      <c r="AF41" s="240"/>
    </row>
    <row r="42" spans="1:32" x14ac:dyDescent="0.25">
      <c r="A42" s="330"/>
      <c r="B42" s="323" t="s">
        <v>613</v>
      </c>
      <c r="C42" s="233" t="s">
        <v>467</v>
      </c>
      <c r="D42" s="818">
        <v>178.49</v>
      </c>
      <c r="E42" s="231" t="s">
        <v>467</v>
      </c>
      <c r="F42" s="586">
        <v>2400</v>
      </c>
      <c r="G42" s="784">
        <v>1</v>
      </c>
      <c r="H42" s="785">
        <f t="shared" si="4"/>
        <v>178.49</v>
      </c>
      <c r="I42" s="180"/>
      <c r="J42" s="180"/>
      <c r="K42" s="325">
        <v>8.1999999999999993</v>
      </c>
      <c r="L42" s="326">
        <v>1.08</v>
      </c>
      <c r="M42" s="236">
        <v>-10</v>
      </c>
      <c r="N42" s="327">
        <f t="shared" si="7"/>
        <v>787.58999999999992</v>
      </c>
      <c r="O42" s="235"/>
      <c r="P42" s="328">
        <f t="shared" si="5"/>
        <v>208.88</v>
      </c>
      <c r="Q42" s="235"/>
      <c r="R42" s="235"/>
      <c r="S42" s="235"/>
      <c r="T42" s="236">
        <f t="shared" si="6"/>
        <v>21.11</v>
      </c>
      <c r="U42" s="235"/>
      <c r="V42" s="235"/>
      <c r="W42" s="235"/>
      <c r="X42" s="237">
        <f>(Z42-Y42)*ModulCD!$O$3*F42</f>
        <v>0</v>
      </c>
      <c r="Y42" s="238">
        <v>0</v>
      </c>
      <c r="Z42" s="71">
        <v>0</v>
      </c>
      <c r="AA42" s="162">
        <v>2024</v>
      </c>
      <c r="AB42" s="162"/>
      <c r="AC42" s="852"/>
      <c r="AD42" t="s">
        <v>726</v>
      </c>
      <c r="AF42" s="240"/>
    </row>
    <row r="43" spans="1:32" x14ac:dyDescent="0.25">
      <c r="A43" s="330"/>
      <c r="B43" s="323" t="s">
        <v>614</v>
      </c>
      <c r="C43" s="233" t="s">
        <v>467</v>
      </c>
      <c r="D43" s="818">
        <v>166.4</v>
      </c>
      <c r="E43" s="231" t="s">
        <v>467</v>
      </c>
      <c r="F43" s="586">
        <v>2400</v>
      </c>
      <c r="G43" s="784">
        <v>1</v>
      </c>
      <c r="H43" s="785">
        <f t="shared" si="4"/>
        <v>166.4</v>
      </c>
      <c r="I43" s="180"/>
      <c r="J43" s="180"/>
      <c r="K43" s="325">
        <v>8.1999999999999993</v>
      </c>
      <c r="L43" s="326">
        <v>1.08</v>
      </c>
      <c r="M43" s="236">
        <v>-10</v>
      </c>
      <c r="N43" s="327">
        <f t="shared" si="7"/>
        <v>787.58999999999992</v>
      </c>
      <c r="O43" s="235"/>
      <c r="P43" s="328">
        <f t="shared" si="5"/>
        <v>196.79000000000002</v>
      </c>
      <c r="Q43" s="235"/>
      <c r="R43" s="235"/>
      <c r="S43" s="235"/>
      <c r="T43" s="236">
        <f t="shared" si="6"/>
        <v>21.11</v>
      </c>
      <c r="U43" s="235"/>
      <c r="V43" s="235"/>
      <c r="W43" s="235"/>
      <c r="X43" s="237">
        <f>(Z43-Y43)*ModulCD!$O$3*F43</f>
        <v>0</v>
      </c>
      <c r="Y43" s="238">
        <v>0</v>
      </c>
      <c r="Z43" s="71">
        <v>0</v>
      </c>
      <c r="AA43" s="162">
        <v>2024</v>
      </c>
      <c r="AB43" s="162"/>
      <c r="AC43" s="852"/>
      <c r="AD43" t="s">
        <v>726</v>
      </c>
      <c r="AF43" s="240"/>
    </row>
    <row r="44" spans="1:32" x14ac:dyDescent="0.25">
      <c r="A44" s="330"/>
      <c r="B44" s="323" t="s">
        <v>615</v>
      </c>
      <c r="C44" s="233" t="s">
        <v>467</v>
      </c>
      <c r="D44" s="818">
        <v>172.98</v>
      </c>
      <c r="E44" s="231" t="s">
        <v>467</v>
      </c>
      <c r="F44" s="586">
        <v>2400</v>
      </c>
      <c r="G44" s="784">
        <v>1</v>
      </c>
      <c r="H44" s="785">
        <f t="shared" si="4"/>
        <v>172.98</v>
      </c>
      <c r="I44" s="180"/>
      <c r="J44" s="180"/>
      <c r="K44" s="325">
        <v>8.1999999999999993</v>
      </c>
      <c r="L44" s="331">
        <v>1.08</v>
      </c>
      <c r="M44" s="179">
        <v>-10</v>
      </c>
      <c r="N44" s="327">
        <f t="shared" si="7"/>
        <v>787.58999999999992</v>
      </c>
      <c r="O44" s="235"/>
      <c r="P44" s="328">
        <f t="shared" si="5"/>
        <v>203.37</v>
      </c>
      <c r="Q44" s="235"/>
      <c r="R44" s="235"/>
      <c r="S44" s="235"/>
      <c r="T44" s="236">
        <f t="shared" si="6"/>
        <v>21.11</v>
      </c>
      <c r="U44" s="235"/>
      <c r="V44" s="235"/>
      <c r="W44" s="235"/>
      <c r="X44" s="237">
        <f>(Z44-Y44)*ModulCD!$O$3*F44</f>
        <v>0</v>
      </c>
      <c r="Y44" s="238">
        <v>0</v>
      </c>
      <c r="Z44" s="71">
        <v>0</v>
      </c>
      <c r="AA44" s="162">
        <v>2024</v>
      </c>
      <c r="AB44" s="162"/>
      <c r="AC44" s="852"/>
      <c r="AD44" t="s">
        <v>726</v>
      </c>
      <c r="AF44" s="240"/>
    </row>
    <row r="45" spans="1:32" x14ac:dyDescent="0.25">
      <c r="A45" s="330"/>
      <c r="B45" s="323" t="s">
        <v>616</v>
      </c>
      <c r="C45" s="233" t="s">
        <v>467</v>
      </c>
      <c r="D45" s="818">
        <v>166.1</v>
      </c>
      <c r="E45" s="231" t="s">
        <v>467</v>
      </c>
      <c r="F45" s="586">
        <v>2400</v>
      </c>
      <c r="G45" s="784">
        <v>1</v>
      </c>
      <c r="H45" s="785">
        <f t="shared" si="4"/>
        <v>166.1</v>
      </c>
      <c r="I45" s="180"/>
      <c r="J45" s="180"/>
      <c r="K45" s="325">
        <v>8.1999999999999993</v>
      </c>
      <c r="L45" s="331">
        <v>1.08</v>
      </c>
      <c r="M45" s="179">
        <v>-10</v>
      </c>
      <c r="N45" s="327">
        <f t="shared" si="7"/>
        <v>787.58999999999992</v>
      </c>
      <c r="O45" s="235"/>
      <c r="P45" s="328">
        <f t="shared" si="5"/>
        <v>196.49</v>
      </c>
      <c r="Q45" s="235"/>
      <c r="R45" s="235"/>
      <c r="S45" s="235"/>
      <c r="T45" s="236">
        <f t="shared" si="6"/>
        <v>21.11</v>
      </c>
      <c r="U45" s="235"/>
      <c r="V45" s="235"/>
      <c r="W45" s="235"/>
      <c r="X45" s="237">
        <f>(Z45-Y45)*ModulCD!$O$3*F45</f>
        <v>0</v>
      </c>
      <c r="Y45" s="238">
        <v>0</v>
      </c>
      <c r="Z45" s="71">
        <v>0</v>
      </c>
      <c r="AA45" s="162">
        <v>2024</v>
      </c>
      <c r="AB45" s="162"/>
      <c r="AC45" s="852"/>
      <c r="AD45" t="s">
        <v>726</v>
      </c>
      <c r="AF45" s="240"/>
    </row>
    <row r="46" spans="1:32" x14ac:dyDescent="0.25">
      <c r="A46" s="330"/>
      <c r="B46" s="323" t="s">
        <v>617</v>
      </c>
      <c r="C46" s="233" t="s">
        <v>467</v>
      </c>
      <c r="D46" s="818">
        <v>172.6</v>
      </c>
      <c r="E46" s="231" t="s">
        <v>467</v>
      </c>
      <c r="F46" s="586">
        <v>2400</v>
      </c>
      <c r="G46" s="784">
        <v>1</v>
      </c>
      <c r="H46" s="785">
        <f t="shared" si="4"/>
        <v>172.6</v>
      </c>
      <c r="I46" s="180"/>
      <c r="J46" s="180"/>
      <c r="K46" s="325">
        <v>8.1999999999999993</v>
      </c>
      <c r="L46" s="331">
        <v>1.08</v>
      </c>
      <c r="M46" s="179">
        <v>-10</v>
      </c>
      <c r="N46" s="327">
        <f t="shared" si="7"/>
        <v>787.58999999999992</v>
      </c>
      <c r="O46" s="235"/>
      <c r="P46" s="328">
        <f t="shared" si="5"/>
        <v>202.99</v>
      </c>
      <c r="Q46" s="235"/>
      <c r="R46" s="235"/>
      <c r="S46" s="235"/>
      <c r="T46" s="236">
        <f t="shared" si="6"/>
        <v>21.11</v>
      </c>
      <c r="U46" s="235"/>
      <c r="V46" s="235"/>
      <c r="W46" s="235"/>
      <c r="X46" s="237">
        <f>(Z46-Y46)*ModulCD!$O$3*F46</f>
        <v>0</v>
      </c>
      <c r="Y46" s="238">
        <v>0</v>
      </c>
      <c r="Z46" s="71">
        <v>0</v>
      </c>
      <c r="AA46" s="162">
        <v>2024</v>
      </c>
      <c r="AB46" s="162"/>
      <c r="AC46" s="852"/>
      <c r="AD46" t="s">
        <v>726</v>
      </c>
      <c r="AF46" s="240"/>
    </row>
    <row r="47" spans="1:32" x14ac:dyDescent="0.25">
      <c r="A47" s="330"/>
      <c r="B47" s="323" t="s">
        <v>618</v>
      </c>
      <c r="C47" s="233" t="s">
        <v>467</v>
      </c>
      <c r="D47" s="818">
        <v>178.77</v>
      </c>
      <c r="E47" s="231" t="s">
        <v>467</v>
      </c>
      <c r="F47" s="586">
        <v>2400</v>
      </c>
      <c r="G47" s="784">
        <v>1</v>
      </c>
      <c r="H47" s="785">
        <f t="shared" si="4"/>
        <v>178.77</v>
      </c>
      <c r="I47" s="180"/>
      <c r="J47" s="180"/>
      <c r="K47" s="325">
        <v>8.1999999999999993</v>
      </c>
      <c r="L47" s="331">
        <v>1.08</v>
      </c>
      <c r="M47" s="179">
        <v>-10</v>
      </c>
      <c r="N47" s="327">
        <f t="shared" si="7"/>
        <v>787.58999999999992</v>
      </c>
      <c r="O47" s="235"/>
      <c r="P47" s="328">
        <f t="shared" si="5"/>
        <v>209.16000000000003</v>
      </c>
      <c r="Q47" s="235"/>
      <c r="R47" s="235"/>
      <c r="S47" s="235"/>
      <c r="T47" s="236">
        <f t="shared" si="6"/>
        <v>21.11</v>
      </c>
      <c r="U47" s="235"/>
      <c r="V47" s="235"/>
      <c r="W47" s="235"/>
      <c r="X47" s="237">
        <f>(Z47-Y47)*ModulCD!$O$3*F47</f>
        <v>0</v>
      </c>
      <c r="Y47" s="238">
        <v>0</v>
      </c>
      <c r="Z47" s="71">
        <v>0</v>
      </c>
      <c r="AA47" s="162">
        <v>2024</v>
      </c>
      <c r="AB47" s="162"/>
      <c r="AC47" s="852"/>
      <c r="AD47" t="s">
        <v>726</v>
      </c>
      <c r="AF47" s="240"/>
    </row>
    <row r="48" spans="1:32" x14ac:dyDescent="0.25">
      <c r="A48" s="330"/>
      <c r="B48" s="323" t="s">
        <v>619</v>
      </c>
      <c r="C48" s="233" t="s">
        <v>467</v>
      </c>
      <c r="D48" s="818">
        <v>219.83</v>
      </c>
      <c r="E48" s="231" t="s">
        <v>467</v>
      </c>
      <c r="F48" s="586">
        <v>2400</v>
      </c>
      <c r="G48" s="784">
        <v>1</v>
      </c>
      <c r="H48" s="785">
        <f t="shared" si="4"/>
        <v>219.83</v>
      </c>
      <c r="I48" s="180"/>
      <c r="J48" s="180"/>
      <c r="K48" s="325">
        <v>8.1999999999999993</v>
      </c>
      <c r="L48" s="331">
        <v>1.08</v>
      </c>
      <c r="M48" s="179">
        <v>-10</v>
      </c>
      <c r="N48" s="327">
        <f t="shared" si="7"/>
        <v>787.58999999999992</v>
      </c>
      <c r="O48" s="235"/>
      <c r="P48" s="328">
        <f t="shared" si="5"/>
        <v>250.22000000000003</v>
      </c>
      <c r="Q48" s="235"/>
      <c r="R48" s="235"/>
      <c r="S48" s="235"/>
      <c r="T48" s="236">
        <f t="shared" si="6"/>
        <v>21.11</v>
      </c>
      <c r="U48" s="235"/>
      <c r="V48" s="235"/>
      <c r="W48" s="235"/>
      <c r="X48" s="237">
        <f>(Z48-Y48)*ModulCD!$O$3*F48</f>
        <v>0</v>
      </c>
      <c r="Y48" s="238">
        <v>0</v>
      </c>
      <c r="Z48" s="71">
        <v>0</v>
      </c>
      <c r="AA48" s="162">
        <v>2024</v>
      </c>
      <c r="AB48" s="162"/>
      <c r="AC48" s="852"/>
      <c r="AD48" t="s">
        <v>726</v>
      </c>
      <c r="AF48" s="240"/>
    </row>
    <row r="49" spans="1:32" x14ac:dyDescent="0.25">
      <c r="A49" s="330"/>
      <c r="B49" s="323" t="s">
        <v>620</v>
      </c>
      <c r="C49" s="233" t="s">
        <v>467</v>
      </c>
      <c r="D49" s="818">
        <v>228.6</v>
      </c>
      <c r="E49" s="231" t="s">
        <v>467</v>
      </c>
      <c r="F49" s="586">
        <v>2400</v>
      </c>
      <c r="G49" s="784">
        <v>1</v>
      </c>
      <c r="H49" s="785">
        <f t="shared" si="4"/>
        <v>228.6</v>
      </c>
      <c r="I49" s="180"/>
      <c r="J49" s="180"/>
      <c r="K49" s="325">
        <v>8.1999999999999993</v>
      </c>
      <c r="L49" s="326">
        <v>1.08</v>
      </c>
      <c r="M49" s="236">
        <v>-10</v>
      </c>
      <c r="N49" s="327">
        <f t="shared" si="7"/>
        <v>787.58999999999992</v>
      </c>
      <c r="O49" s="235"/>
      <c r="P49" s="328">
        <f t="shared" si="5"/>
        <v>258.99</v>
      </c>
      <c r="Q49" s="235"/>
      <c r="R49" s="235"/>
      <c r="S49" s="235"/>
      <c r="T49" s="236">
        <f t="shared" si="6"/>
        <v>21.11</v>
      </c>
      <c r="U49" s="235"/>
      <c r="V49" s="235"/>
      <c r="W49" s="235"/>
      <c r="X49" s="237">
        <f>(Z49-Y49)*ModulCD!$O$3*F49</f>
        <v>0</v>
      </c>
      <c r="Y49" s="238">
        <v>0</v>
      </c>
      <c r="Z49" s="71">
        <v>0</v>
      </c>
      <c r="AA49" s="162">
        <v>2024</v>
      </c>
      <c r="AB49" s="162"/>
      <c r="AC49" s="852"/>
      <c r="AD49" t="s">
        <v>726</v>
      </c>
      <c r="AF49" s="240"/>
    </row>
    <row r="50" spans="1:32" x14ac:dyDescent="0.25">
      <c r="A50" s="330"/>
      <c r="B50" s="323" t="s">
        <v>621</v>
      </c>
      <c r="C50" s="233" t="s">
        <v>467</v>
      </c>
      <c r="D50" s="818">
        <v>241.03</v>
      </c>
      <c r="E50" s="231" t="s">
        <v>467</v>
      </c>
      <c r="F50" s="586">
        <v>2400</v>
      </c>
      <c r="G50" s="784">
        <v>1</v>
      </c>
      <c r="H50" s="785">
        <f t="shared" si="4"/>
        <v>241.03</v>
      </c>
      <c r="I50" s="180"/>
      <c r="J50" s="180"/>
      <c r="K50" s="325">
        <v>8.1999999999999993</v>
      </c>
      <c r="L50" s="326">
        <v>1.08</v>
      </c>
      <c r="M50" s="236">
        <v>-10</v>
      </c>
      <c r="N50" s="327">
        <f t="shared" si="7"/>
        <v>787.58999999999992</v>
      </c>
      <c r="O50" s="235"/>
      <c r="P50" s="328">
        <f t="shared" si="5"/>
        <v>271.42</v>
      </c>
      <c r="Q50" s="235"/>
      <c r="R50" s="235"/>
      <c r="S50" s="235"/>
      <c r="T50" s="236">
        <f t="shared" si="6"/>
        <v>21.11</v>
      </c>
      <c r="U50" s="235"/>
      <c r="V50" s="235"/>
      <c r="W50" s="235"/>
      <c r="X50" s="237">
        <f>(Z50-Y50)*ModulCD!$O$3*F50</f>
        <v>0</v>
      </c>
      <c r="Y50" s="238">
        <v>0</v>
      </c>
      <c r="Z50" s="71">
        <v>0</v>
      </c>
      <c r="AA50" s="162">
        <v>2024</v>
      </c>
      <c r="AB50" s="162"/>
      <c r="AC50" s="852"/>
      <c r="AD50" t="s">
        <v>726</v>
      </c>
      <c r="AF50" s="240"/>
    </row>
    <row r="51" spans="1:32" x14ac:dyDescent="0.25">
      <c r="A51" s="330"/>
      <c r="B51" s="323" t="s">
        <v>622</v>
      </c>
      <c r="C51" s="233" t="s">
        <v>467</v>
      </c>
      <c r="D51" s="818">
        <v>242.4</v>
      </c>
      <c r="E51" s="231" t="s">
        <v>467</v>
      </c>
      <c r="F51" s="586">
        <v>2400</v>
      </c>
      <c r="G51" s="784">
        <v>1</v>
      </c>
      <c r="H51" s="785">
        <f t="shared" si="4"/>
        <v>242.4</v>
      </c>
      <c r="I51" s="180"/>
      <c r="J51" s="180"/>
      <c r="K51" s="325">
        <v>8.1999999999999993</v>
      </c>
      <c r="L51" s="326">
        <v>1.08</v>
      </c>
      <c r="M51" s="236">
        <v>-10</v>
      </c>
      <c r="N51" s="327">
        <f t="shared" si="7"/>
        <v>787.58999999999992</v>
      </c>
      <c r="O51" s="235"/>
      <c r="P51" s="328">
        <f t="shared" si="5"/>
        <v>272.79000000000002</v>
      </c>
      <c r="Q51" s="235"/>
      <c r="R51" s="235"/>
      <c r="S51" s="235"/>
      <c r="T51" s="236">
        <f t="shared" si="6"/>
        <v>21.11</v>
      </c>
      <c r="U51" s="235"/>
      <c r="V51" s="235"/>
      <c r="W51" s="235"/>
      <c r="X51" s="237">
        <f>(Z51-Y51)*ModulCD!$O$3*F51</f>
        <v>0</v>
      </c>
      <c r="Y51" s="238">
        <v>0</v>
      </c>
      <c r="Z51" s="71">
        <v>0</v>
      </c>
      <c r="AA51" s="162">
        <v>2024</v>
      </c>
      <c r="AB51" s="162"/>
      <c r="AC51" s="852"/>
      <c r="AD51" t="s">
        <v>726</v>
      </c>
      <c r="AF51" s="240"/>
    </row>
    <row r="52" spans="1:32" x14ac:dyDescent="0.25">
      <c r="A52" s="330"/>
      <c r="B52" s="323" t="s">
        <v>623</v>
      </c>
      <c r="C52" s="233" t="s">
        <v>467</v>
      </c>
      <c r="D52" s="818">
        <v>155.81</v>
      </c>
      <c r="E52" s="231" t="s">
        <v>467</v>
      </c>
      <c r="F52" s="586">
        <v>2400</v>
      </c>
      <c r="G52" s="784">
        <v>1</v>
      </c>
      <c r="H52" s="785">
        <f t="shared" si="4"/>
        <v>155.81</v>
      </c>
      <c r="I52" s="180"/>
      <c r="J52" s="180"/>
      <c r="K52" s="325">
        <v>8.1999999999999993</v>
      </c>
      <c r="L52" s="326">
        <v>1.08</v>
      </c>
      <c r="M52" s="236">
        <v>-10</v>
      </c>
      <c r="N52" s="327">
        <f t="shared" si="7"/>
        <v>787.58999999999992</v>
      </c>
      <c r="O52" s="235"/>
      <c r="P52" s="328">
        <f t="shared" si="5"/>
        <v>186.2</v>
      </c>
      <c r="Q52" s="235"/>
      <c r="R52" s="235"/>
      <c r="S52" s="235"/>
      <c r="T52" s="236">
        <f t="shared" si="6"/>
        <v>21.11</v>
      </c>
      <c r="U52" s="235"/>
      <c r="V52" s="235"/>
      <c r="W52" s="235"/>
      <c r="X52" s="237">
        <f>(Z52-Y52)*ModulCD!$O$3*F52</f>
        <v>0</v>
      </c>
      <c r="Y52" s="238">
        <v>0</v>
      </c>
      <c r="Z52" s="71">
        <v>0</v>
      </c>
      <c r="AA52" s="162">
        <v>2024</v>
      </c>
      <c r="AB52" s="162"/>
      <c r="AC52" s="852"/>
      <c r="AD52" t="s">
        <v>726</v>
      </c>
      <c r="AF52" s="240"/>
    </row>
    <row r="53" spans="1:32" x14ac:dyDescent="0.25">
      <c r="A53" s="330"/>
      <c r="B53" s="323" t="s">
        <v>624</v>
      </c>
      <c r="C53" s="233" t="s">
        <v>467</v>
      </c>
      <c r="D53" s="818">
        <v>175.33</v>
      </c>
      <c r="E53" s="231" t="s">
        <v>467</v>
      </c>
      <c r="F53" s="586">
        <v>2400</v>
      </c>
      <c r="G53" s="784">
        <v>1</v>
      </c>
      <c r="H53" s="785">
        <f t="shared" si="4"/>
        <v>175.33</v>
      </c>
      <c r="I53" s="180"/>
      <c r="J53" s="180"/>
      <c r="K53" s="325">
        <v>8.1999999999999993</v>
      </c>
      <c r="L53" s="331">
        <v>1.08</v>
      </c>
      <c r="M53" s="179">
        <v>-10</v>
      </c>
      <c r="N53" s="327">
        <f t="shared" si="7"/>
        <v>787.58999999999992</v>
      </c>
      <c r="O53" s="235"/>
      <c r="P53" s="328">
        <f t="shared" si="5"/>
        <v>205.72000000000003</v>
      </c>
      <c r="Q53" s="235"/>
      <c r="R53" s="235"/>
      <c r="S53" s="235"/>
      <c r="T53" s="236">
        <f t="shared" si="6"/>
        <v>21.11</v>
      </c>
      <c r="U53" s="235"/>
      <c r="V53" s="235"/>
      <c r="W53" s="235"/>
      <c r="X53" s="237">
        <f>(Z53-Y53)*ModulCD!$O$3*F53</f>
        <v>0</v>
      </c>
      <c r="Y53" s="238">
        <v>0</v>
      </c>
      <c r="Z53" s="71">
        <v>0</v>
      </c>
      <c r="AA53" s="162">
        <v>2024</v>
      </c>
      <c r="AB53" s="162"/>
      <c r="AC53" s="852"/>
      <c r="AD53" t="s">
        <v>726</v>
      </c>
      <c r="AF53" s="240"/>
    </row>
    <row r="54" spans="1:32" x14ac:dyDescent="0.25">
      <c r="A54" s="330"/>
      <c r="B54" s="323" t="s">
        <v>625</v>
      </c>
      <c r="C54" s="233" t="s">
        <v>467</v>
      </c>
      <c r="D54" s="818">
        <v>190.84</v>
      </c>
      <c r="E54" s="231" t="s">
        <v>467</v>
      </c>
      <c r="F54" s="586">
        <v>2400</v>
      </c>
      <c r="G54" s="784">
        <v>1</v>
      </c>
      <c r="H54" s="785">
        <f t="shared" si="4"/>
        <v>190.84</v>
      </c>
      <c r="I54" s="180"/>
      <c r="J54" s="180"/>
      <c r="K54" s="325">
        <v>8.1999999999999993</v>
      </c>
      <c r="L54" s="326">
        <v>1.08</v>
      </c>
      <c r="M54" s="236">
        <v>-10</v>
      </c>
      <c r="N54" s="327">
        <f t="shared" si="7"/>
        <v>787.58999999999992</v>
      </c>
      <c r="O54" s="235"/>
      <c r="P54" s="328">
        <f t="shared" ref="P54:P61" si="8">SUM(H54:L54,T54)</f>
        <v>221.23000000000002</v>
      </c>
      <c r="Q54" s="235"/>
      <c r="R54" s="235"/>
      <c r="S54" s="235"/>
      <c r="T54" s="236">
        <f t="shared" si="6"/>
        <v>21.11</v>
      </c>
      <c r="U54" s="235"/>
      <c r="V54" s="235"/>
      <c r="W54" s="235"/>
      <c r="X54" s="237">
        <f>(Z54-Y54)*ModulCD!$O$3*F54</f>
        <v>0</v>
      </c>
      <c r="Y54" s="238">
        <v>0</v>
      </c>
      <c r="Z54" s="71">
        <v>0</v>
      </c>
      <c r="AA54" s="162">
        <v>2024</v>
      </c>
      <c r="AB54" s="162"/>
      <c r="AC54" s="852"/>
      <c r="AD54" t="s">
        <v>726</v>
      </c>
      <c r="AF54" s="240"/>
    </row>
    <row r="55" spans="1:32" x14ac:dyDescent="0.25">
      <c r="A55" s="330"/>
      <c r="B55" s="323" t="s">
        <v>626</v>
      </c>
      <c r="C55" s="233" t="s">
        <v>467</v>
      </c>
      <c r="D55" s="818">
        <v>175</v>
      </c>
      <c r="E55" s="231" t="s">
        <v>467</v>
      </c>
      <c r="F55" s="586">
        <v>2400</v>
      </c>
      <c r="G55" s="784">
        <v>1</v>
      </c>
      <c r="H55" s="785">
        <f t="shared" si="4"/>
        <v>175</v>
      </c>
      <c r="I55" s="180"/>
      <c r="J55" s="180"/>
      <c r="K55" s="325">
        <v>8.1999999999999993</v>
      </c>
      <c r="L55" s="326">
        <v>1.08</v>
      </c>
      <c r="M55" s="236">
        <v>-10</v>
      </c>
      <c r="N55" s="327">
        <f t="shared" si="7"/>
        <v>787.58999999999992</v>
      </c>
      <c r="O55" s="235"/>
      <c r="P55" s="328">
        <f t="shared" si="8"/>
        <v>205.39</v>
      </c>
      <c r="Q55" s="235"/>
      <c r="R55" s="235"/>
      <c r="S55" s="235"/>
      <c r="T55" s="236">
        <f t="shared" si="6"/>
        <v>21.11</v>
      </c>
      <c r="U55" s="235"/>
      <c r="V55" s="235"/>
      <c r="W55" s="235"/>
      <c r="X55" s="237">
        <f>(Z55-Y55)*ModulCD!$O$3*F55</f>
        <v>0</v>
      </c>
      <c r="Y55" s="238">
        <v>0</v>
      </c>
      <c r="Z55" s="71">
        <v>0</v>
      </c>
      <c r="AA55" s="162">
        <v>2024</v>
      </c>
      <c r="AB55" s="162"/>
      <c r="AC55" s="852"/>
      <c r="AD55" t="s">
        <v>726</v>
      </c>
      <c r="AF55" s="240"/>
    </row>
    <row r="56" spans="1:32" x14ac:dyDescent="0.25">
      <c r="A56" s="330"/>
      <c r="B56" s="323" t="s">
        <v>627</v>
      </c>
      <c r="C56" s="233" t="s">
        <v>467</v>
      </c>
      <c r="D56" s="818">
        <v>216.1</v>
      </c>
      <c r="E56" s="231" t="s">
        <v>467</v>
      </c>
      <c r="F56" s="586">
        <v>2400</v>
      </c>
      <c r="G56" s="784">
        <v>1</v>
      </c>
      <c r="H56" s="785">
        <f t="shared" si="4"/>
        <v>216.1</v>
      </c>
      <c r="I56" s="180"/>
      <c r="J56" s="180"/>
      <c r="K56" s="325">
        <v>8.1999999999999993</v>
      </c>
      <c r="L56" s="331">
        <v>1.08</v>
      </c>
      <c r="M56" s="179">
        <v>-10</v>
      </c>
      <c r="N56" s="327">
        <f t="shared" si="7"/>
        <v>787.58999999999992</v>
      </c>
      <c r="O56" s="235"/>
      <c r="P56" s="328">
        <f t="shared" si="8"/>
        <v>246.49</v>
      </c>
      <c r="Q56" s="235"/>
      <c r="R56" s="235"/>
      <c r="S56" s="235"/>
      <c r="T56" s="236">
        <f t="shared" si="6"/>
        <v>21.11</v>
      </c>
      <c r="U56" s="235"/>
      <c r="V56" s="235"/>
      <c r="W56" s="235"/>
      <c r="X56" s="237">
        <f>(Z56-Y56)*ModulCD!$O$3*F56</f>
        <v>0</v>
      </c>
      <c r="Y56" s="238">
        <v>0</v>
      </c>
      <c r="Z56" s="71">
        <v>0</v>
      </c>
      <c r="AA56" s="162">
        <v>2024</v>
      </c>
      <c r="AB56" s="162"/>
      <c r="AC56" s="852"/>
      <c r="AD56" t="s">
        <v>726</v>
      </c>
      <c r="AF56" s="240"/>
    </row>
    <row r="57" spans="1:32" x14ac:dyDescent="0.25">
      <c r="A57" s="330"/>
      <c r="B57" s="323" t="s">
        <v>628</v>
      </c>
      <c r="C57" s="233" t="s">
        <v>467</v>
      </c>
      <c r="D57" s="818">
        <v>267.38</v>
      </c>
      <c r="E57" s="231" t="s">
        <v>467</v>
      </c>
      <c r="F57" s="586">
        <v>2400</v>
      </c>
      <c r="G57" s="784">
        <v>1</v>
      </c>
      <c r="H57" s="785">
        <f t="shared" si="4"/>
        <v>267.38</v>
      </c>
      <c r="I57" s="180"/>
      <c r="J57" s="180"/>
      <c r="K57" s="325">
        <v>8.1999999999999993</v>
      </c>
      <c r="L57" s="326">
        <v>1.08</v>
      </c>
      <c r="M57" s="236">
        <v>-10</v>
      </c>
      <c r="N57" s="327">
        <f t="shared" si="7"/>
        <v>787.58999999999992</v>
      </c>
      <c r="O57" s="235"/>
      <c r="P57" s="328">
        <f t="shared" si="8"/>
        <v>297.77</v>
      </c>
      <c r="Q57" s="235"/>
      <c r="R57" s="235"/>
      <c r="S57" s="235"/>
      <c r="T57" s="236">
        <f t="shared" si="6"/>
        <v>21.11</v>
      </c>
      <c r="U57" s="235"/>
      <c r="V57" s="235"/>
      <c r="W57" s="235"/>
      <c r="X57" s="237">
        <f>(Z57-Y57)*ModulCD!$O$3*F57</f>
        <v>0</v>
      </c>
      <c r="Y57" s="238">
        <v>0</v>
      </c>
      <c r="Z57" s="71">
        <v>0</v>
      </c>
      <c r="AA57" s="162">
        <v>2024</v>
      </c>
      <c r="AB57" s="162"/>
      <c r="AC57" s="852"/>
      <c r="AD57" t="s">
        <v>726</v>
      </c>
      <c r="AF57" s="240"/>
    </row>
    <row r="58" spans="1:32" x14ac:dyDescent="0.25">
      <c r="A58" s="330"/>
      <c r="B58" s="323" t="s">
        <v>629</v>
      </c>
      <c r="C58" s="233" t="s">
        <v>467</v>
      </c>
      <c r="D58" s="818">
        <v>190.09</v>
      </c>
      <c r="E58" s="231" t="s">
        <v>467</v>
      </c>
      <c r="F58" s="586">
        <v>2400</v>
      </c>
      <c r="G58" s="784">
        <v>1</v>
      </c>
      <c r="H58" s="785">
        <f t="shared" si="4"/>
        <v>190.09</v>
      </c>
      <c r="I58" s="180"/>
      <c r="J58" s="180"/>
      <c r="K58" s="325">
        <v>8.1999999999999993</v>
      </c>
      <c r="L58" s="326">
        <v>1.08</v>
      </c>
      <c r="M58" s="236">
        <v>-10</v>
      </c>
      <c r="N58" s="327">
        <f t="shared" si="7"/>
        <v>787.58999999999992</v>
      </c>
      <c r="O58" s="235"/>
      <c r="P58" s="328">
        <f t="shared" si="8"/>
        <v>220.48000000000002</v>
      </c>
      <c r="Q58" s="235"/>
      <c r="R58" s="235"/>
      <c r="S58" s="235"/>
      <c r="T58" s="236">
        <f t="shared" si="6"/>
        <v>21.11</v>
      </c>
      <c r="U58" s="235"/>
      <c r="V58" s="235"/>
      <c r="W58" s="235"/>
      <c r="X58" s="237">
        <f>(Z58-Y58)*ModulCD!$O$3*F58</f>
        <v>0</v>
      </c>
      <c r="Y58" s="238">
        <v>0</v>
      </c>
      <c r="Z58" s="71">
        <v>0</v>
      </c>
      <c r="AA58" s="162">
        <v>2024</v>
      </c>
      <c r="AB58" s="162"/>
      <c r="AC58" s="852"/>
      <c r="AD58" t="s">
        <v>726</v>
      </c>
      <c r="AF58" s="240"/>
    </row>
    <row r="59" spans="1:32" x14ac:dyDescent="0.25">
      <c r="A59" s="330"/>
      <c r="B59" s="323" t="s">
        <v>630</v>
      </c>
      <c r="C59" s="233" t="s">
        <v>467</v>
      </c>
      <c r="D59" s="818">
        <v>178.51</v>
      </c>
      <c r="E59" s="231" t="s">
        <v>467</v>
      </c>
      <c r="F59" s="586">
        <v>2400</v>
      </c>
      <c r="G59" s="784">
        <v>1</v>
      </c>
      <c r="H59" s="785">
        <f t="shared" si="4"/>
        <v>178.51</v>
      </c>
      <c r="I59" s="180"/>
      <c r="J59" s="180"/>
      <c r="K59" s="325">
        <v>8.1999999999999993</v>
      </c>
      <c r="L59" s="331">
        <v>1.08</v>
      </c>
      <c r="M59" s="179">
        <v>-10</v>
      </c>
      <c r="N59" s="327">
        <f t="shared" si="7"/>
        <v>787.58999999999992</v>
      </c>
      <c r="O59" s="235"/>
      <c r="P59" s="328">
        <f t="shared" si="8"/>
        <v>208.89999999999998</v>
      </c>
      <c r="Q59" s="235"/>
      <c r="R59" s="235"/>
      <c r="S59" s="235"/>
      <c r="T59" s="236">
        <f t="shared" si="6"/>
        <v>21.11</v>
      </c>
      <c r="U59" s="235"/>
      <c r="V59" s="235"/>
      <c r="W59" s="235"/>
      <c r="X59" s="237">
        <f>(Z59-Y59)*ModulCD!$O$3*F59</f>
        <v>0</v>
      </c>
      <c r="Y59" s="238">
        <v>0</v>
      </c>
      <c r="Z59" s="71">
        <v>0</v>
      </c>
      <c r="AA59" s="162">
        <v>2024</v>
      </c>
      <c r="AB59" s="162"/>
      <c r="AC59" s="852"/>
      <c r="AD59" t="s">
        <v>726</v>
      </c>
      <c r="AF59" s="240"/>
    </row>
    <row r="60" spans="1:32" x14ac:dyDescent="0.25">
      <c r="A60" s="330"/>
      <c r="B60" s="323" t="s">
        <v>631</v>
      </c>
      <c r="C60" s="233" t="s">
        <v>467</v>
      </c>
      <c r="D60" s="818">
        <v>189.78</v>
      </c>
      <c r="E60" s="231" t="s">
        <v>467</v>
      </c>
      <c r="F60" s="586">
        <v>2400</v>
      </c>
      <c r="G60" s="784">
        <v>1</v>
      </c>
      <c r="H60" s="785">
        <f t="shared" si="4"/>
        <v>189.78</v>
      </c>
      <c r="I60" s="180"/>
      <c r="J60" s="180"/>
      <c r="K60" s="325">
        <v>8.1999999999999993</v>
      </c>
      <c r="L60" s="326">
        <v>1.08</v>
      </c>
      <c r="M60" s="236">
        <v>-10</v>
      </c>
      <c r="N60" s="327">
        <f t="shared" si="7"/>
        <v>787.58999999999992</v>
      </c>
      <c r="O60" s="235"/>
      <c r="P60" s="328">
        <f t="shared" si="8"/>
        <v>220.17000000000002</v>
      </c>
      <c r="Q60" s="235"/>
      <c r="R60" s="235"/>
      <c r="S60" s="235"/>
      <c r="T60" s="236">
        <f t="shared" si="6"/>
        <v>21.11</v>
      </c>
      <c r="U60" s="235"/>
      <c r="V60" s="235"/>
      <c r="W60" s="235"/>
      <c r="X60" s="237">
        <f>(Z60-Y60)*ModulCD!$O$3*F60</f>
        <v>0</v>
      </c>
      <c r="Y60" s="238">
        <v>0</v>
      </c>
      <c r="Z60" s="71">
        <v>0</v>
      </c>
      <c r="AA60" s="162">
        <v>2024</v>
      </c>
      <c r="AB60" s="162"/>
      <c r="AC60" s="852"/>
      <c r="AD60" t="s">
        <v>726</v>
      </c>
      <c r="AF60" s="240"/>
    </row>
    <row r="61" spans="1:32" x14ac:dyDescent="0.25">
      <c r="A61" s="330"/>
      <c r="B61" s="323" t="s">
        <v>632</v>
      </c>
      <c r="C61" s="233" t="s">
        <v>467</v>
      </c>
      <c r="D61" s="818">
        <v>261.55</v>
      </c>
      <c r="E61" s="231" t="s">
        <v>467</v>
      </c>
      <c r="F61" s="586">
        <v>2400</v>
      </c>
      <c r="G61" s="784">
        <v>1</v>
      </c>
      <c r="H61" s="785">
        <f t="shared" si="4"/>
        <v>261.55</v>
      </c>
      <c r="I61" s="180"/>
      <c r="J61" s="180"/>
      <c r="K61" s="325">
        <v>8.1999999999999993</v>
      </c>
      <c r="L61" s="326">
        <v>1.08</v>
      </c>
      <c r="M61" s="236">
        <v>-10</v>
      </c>
      <c r="N61" s="327">
        <f t="shared" si="7"/>
        <v>787.58999999999992</v>
      </c>
      <c r="O61" s="235"/>
      <c r="P61" s="328">
        <f t="shared" si="8"/>
        <v>291.94</v>
      </c>
      <c r="Q61" s="235"/>
      <c r="R61" s="235"/>
      <c r="S61" s="235"/>
      <c r="T61" s="236">
        <f t="shared" si="6"/>
        <v>21.11</v>
      </c>
      <c r="U61" s="235"/>
      <c r="V61" s="235"/>
      <c r="W61" s="235"/>
      <c r="X61" s="237">
        <f>(Z61-Y61)*ModulCD!$O$3*F61</f>
        <v>0</v>
      </c>
      <c r="Y61" s="238">
        <v>0</v>
      </c>
      <c r="Z61" s="71">
        <v>0</v>
      </c>
      <c r="AA61" s="162">
        <v>2024</v>
      </c>
      <c r="AB61" s="162"/>
      <c r="AC61" s="852"/>
      <c r="AD61" t="s">
        <v>726</v>
      </c>
      <c r="AF61" s="240"/>
    </row>
    <row r="62" spans="1:32" x14ac:dyDescent="0.25">
      <c r="A62" s="330"/>
      <c r="B62" s="323" t="s">
        <v>443</v>
      </c>
      <c r="C62" s="233" t="s">
        <v>467</v>
      </c>
      <c r="D62" s="332">
        <v>650</v>
      </c>
      <c r="E62" s="231" t="s">
        <v>467</v>
      </c>
      <c r="F62" s="586">
        <v>2400</v>
      </c>
      <c r="G62" s="670">
        <v>1</v>
      </c>
      <c r="H62" s="332">
        <v>650</v>
      </c>
      <c r="I62" s="180"/>
      <c r="J62" s="180"/>
      <c r="K62" s="325">
        <v>8.1999999999999993</v>
      </c>
      <c r="L62" s="331">
        <v>1.08</v>
      </c>
      <c r="M62" s="179">
        <v>-10</v>
      </c>
      <c r="N62" s="327">
        <f t="shared" si="7"/>
        <v>787.58999999999992</v>
      </c>
      <c r="O62" s="235"/>
      <c r="P62" s="328">
        <f t="shared" si="5"/>
        <v>680.3900000000001</v>
      </c>
      <c r="Q62" s="235"/>
      <c r="R62" s="235"/>
      <c r="S62" s="235"/>
      <c r="T62" s="236">
        <f t="shared" si="6"/>
        <v>21.11</v>
      </c>
      <c r="U62" s="235"/>
      <c r="V62" s="235"/>
      <c r="W62" s="235"/>
      <c r="X62" s="237">
        <f>(Z62-Y62)*ModulCD!$O$3*F62</f>
        <v>0</v>
      </c>
      <c r="Y62" s="238">
        <v>0</v>
      </c>
      <c r="Z62" s="71">
        <v>0</v>
      </c>
      <c r="AA62" s="162">
        <v>2023</v>
      </c>
      <c r="AB62" s="162"/>
      <c r="AC62" s="852"/>
      <c r="AD62" t="s">
        <v>725</v>
      </c>
      <c r="AF62" s="240"/>
    </row>
    <row r="63" spans="1:32" x14ac:dyDescent="0.25">
      <c r="A63" s="330"/>
      <c r="B63" s="323" t="s">
        <v>444</v>
      </c>
      <c r="C63" s="233" t="s">
        <v>467</v>
      </c>
      <c r="D63" s="332">
        <v>750</v>
      </c>
      <c r="E63" s="231" t="s">
        <v>467</v>
      </c>
      <c r="F63" s="586">
        <v>2400</v>
      </c>
      <c r="G63" s="670">
        <v>1</v>
      </c>
      <c r="H63" s="332">
        <v>750</v>
      </c>
      <c r="I63" s="180"/>
      <c r="J63" s="180"/>
      <c r="K63" s="325">
        <v>8.1999999999999993</v>
      </c>
      <c r="L63" s="331">
        <v>1.08</v>
      </c>
      <c r="M63" s="179">
        <v>-10</v>
      </c>
      <c r="N63" s="327">
        <f t="shared" si="7"/>
        <v>787.58999999999992</v>
      </c>
      <c r="O63" s="235"/>
      <c r="P63" s="328">
        <f t="shared" si="5"/>
        <v>780.3900000000001</v>
      </c>
      <c r="Q63" s="235"/>
      <c r="R63" s="235"/>
      <c r="S63" s="235"/>
      <c r="T63" s="236">
        <f t="shared" si="6"/>
        <v>21.11</v>
      </c>
      <c r="U63" s="235"/>
      <c r="V63" s="235"/>
      <c r="W63" s="235"/>
      <c r="X63" s="237">
        <f>(Z63-Y63)*ModulCD!$O$3*F63</f>
        <v>0</v>
      </c>
      <c r="Y63" s="238">
        <v>0</v>
      </c>
      <c r="Z63" s="71">
        <v>0</v>
      </c>
      <c r="AA63" s="162">
        <v>2023</v>
      </c>
      <c r="AB63" s="162"/>
      <c r="AC63" s="852"/>
      <c r="AD63" t="s">
        <v>725</v>
      </c>
      <c r="AF63" s="240"/>
    </row>
    <row r="64" spans="1:32" x14ac:dyDescent="0.25">
      <c r="A64" s="330"/>
      <c r="B64" s="323" t="s">
        <v>445</v>
      </c>
      <c r="C64" s="233" t="s">
        <v>467</v>
      </c>
      <c r="D64" s="332">
        <v>975</v>
      </c>
      <c r="E64" s="231" t="s">
        <v>467</v>
      </c>
      <c r="F64" s="586">
        <v>2400</v>
      </c>
      <c r="G64" s="670">
        <v>1</v>
      </c>
      <c r="H64" s="332">
        <v>975</v>
      </c>
      <c r="I64" s="180"/>
      <c r="J64" s="180"/>
      <c r="K64" s="325">
        <v>8.1999999999999993</v>
      </c>
      <c r="L64" s="326">
        <v>1.08</v>
      </c>
      <c r="M64" s="236">
        <v>-10</v>
      </c>
      <c r="N64" s="327">
        <f t="shared" si="7"/>
        <v>787.58999999999992</v>
      </c>
      <c r="O64" s="235"/>
      <c r="P64" s="328">
        <f t="shared" si="5"/>
        <v>1005.3900000000001</v>
      </c>
      <c r="Q64" s="235"/>
      <c r="R64" s="235"/>
      <c r="S64" s="235"/>
      <c r="T64" s="236">
        <f t="shared" si="6"/>
        <v>21.11</v>
      </c>
      <c r="U64" s="235"/>
      <c r="V64" s="235"/>
      <c r="W64" s="235"/>
      <c r="X64" s="237">
        <f>(Z64-Y64)*ModulCD!$O$3*F64</f>
        <v>0</v>
      </c>
      <c r="Y64" s="238">
        <v>0</v>
      </c>
      <c r="Z64" s="71">
        <v>0</v>
      </c>
      <c r="AA64" s="162">
        <v>2023</v>
      </c>
      <c r="AB64" s="162"/>
      <c r="AC64" s="852"/>
      <c r="AD64" t="s">
        <v>725</v>
      </c>
      <c r="AF64" s="240"/>
    </row>
    <row r="65" spans="1:33" x14ac:dyDescent="0.25">
      <c r="A65" s="330"/>
      <c r="B65" s="323" t="s">
        <v>446</v>
      </c>
      <c r="C65" s="233" t="s">
        <v>467</v>
      </c>
      <c r="D65" s="332">
        <v>1150</v>
      </c>
      <c r="E65" s="231" t="s">
        <v>467</v>
      </c>
      <c r="F65" s="586">
        <v>2400</v>
      </c>
      <c r="G65" s="670">
        <v>1</v>
      </c>
      <c r="H65" s="332">
        <v>1150</v>
      </c>
      <c r="I65" s="180"/>
      <c r="J65" s="180"/>
      <c r="K65" s="325">
        <v>8.1999999999999993</v>
      </c>
      <c r="L65" s="331">
        <v>1.1000000000000001</v>
      </c>
      <c r="M65" s="179">
        <v>-10</v>
      </c>
      <c r="N65" s="327">
        <f t="shared" si="7"/>
        <v>787.6099999999999</v>
      </c>
      <c r="O65" s="235"/>
      <c r="P65" s="328">
        <f t="shared" si="5"/>
        <v>1180.4099999999999</v>
      </c>
      <c r="Q65" s="235"/>
      <c r="R65" s="235"/>
      <c r="S65" s="235"/>
      <c r="T65" s="236">
        <f t="shared" si="6"/>
        <v>21.11</v>
      </c>
      <c r="U65" s="235"/>
      <c r="V65" s="235"/>
      <c r="W65" s="235"/>
      <c r="X65" s="237">
        <f>(Z65-Y65)*ModulCD!$O$3*F65</f>
        <v>0</v>
      </c>
      <c r="Y65" s="238">
        <v>0</v>
      </c>
      <c r="Z65" s="71">
        <v>0</v>
      </c>
      <c r="AA65" s="162">
        <v>2023</v>
      </c>
      <c r="AB65" s="162"/>
      <c r="AC65" s="852"/>
      <c r="AD65" t="s">
        <v>725</v>
      </c>
    </row>
    <row r="66" spans="1:33" s="41" customFormat="1" ht="15.75" thickBot="1" x14ac:dyDescent="0.3">
      <c r="A66" s="879"/>
      <c r="B66" s="21" t="s">
        <v>745</v>
      </c>
      <c r="C66" s="168" t="s">
        <v>467</v>
      </c>
      <c r="D66" s="819">
        <v>0.95899999999999996</v>
      </c>
      <c r="E66" s="334" t="s">
        <v>106</v>
      </c>
      <c r="F66" s="586">
        <v>800</v>
      </c>
      <c r="G66" s="243">
        <v>1</v>
      </c>
      <c r="H66" s="335">
        <f>D66*F66</f>
        <v>767.19999999999993</v>
      </c>
      <c r="I66" s="336"/>
      <c r="J66" s="336"/>
      <c r="K66" s="335">
        <f>0.0506*F66</f>
        <v>40.479999999999997</v>
      </c>
      <c r="L66" s="335">
        <f>0.109*F66</f>
        <v>87.2</v>
      </c>
      <c r="M66" s="199">
        <v>-10</v>
      </c>
      <c r="N66" s="327">
        <f t="shared" si="7"/>
        <v>910.01119999999992</v>
      </c>
      <c r="O66" s="339"/>
      <c r="P66" s="328">
        <f t="shared" si="5"/>
        <v>920.01120000000003</v>
      </c>
      <c r="Q66" s="339"/>
      <c r="R66" s="339"/>
      <c r="S66" s="339"/>
      <c r="T66" s="215">
        <f>(0.000314+0.0139+0.0172)*F66</f>
        <v>25.1312</v>
      </c>
      <c r="U66" s="339"/>
      <c r="V66" s="339"/>
      <c r="W66" s="339"/>
      <c r="X66" s="237">
        <f>(Z66-Y66)*ModulCD!$O$3*F66</f>
        <v>0</v>
      </c>
      <c r="Y66" s="238">
        <v>0</v>
      </c>
      <c r="Z66" s="71">
        <v>0</v>
      </c>
      <c r="AA66" s="77">
        <v>2022</v>
      </c>
      <c r="AB66" s="259">
        <v>2027</v>
      </c>
      <c r="AC66" s="853"/>
      <c r="AF66" s="340" t="s">
        <v>474</v>
      </c>
    </row>
    <row r="67" spans="1:33" x14ac:dyDescent="0.25">
      <c r="A67" s="330"/>
      <c r="B67" s="341" t="s">
        <v>281</v>
      </c>
      <c r="C67" s="242"/>
      <c r="D67" s="342"/>
      <c r="E67" s="231" t="s">
        <v>467</v>
      </c>
      <c r="F67" s="9">
        <f>D67</f>
        <v>0</v>
      </c>
      <c r="G67" s="243">
        <f>F67</f>
        <v>0</v>
      </c>
      <c r="H67" s="343"/>
      <c r="I67" s="343"/>
      <c r="J67" s="343"/>
      <c r="K67" s="343"/>
      <c r="L67" s="343"/>
      <c r="M67" s="181"/>
      <c r="N67" s="343"/>
      <c r="O67" s="344"/>
      <c r="P67" s="344"/>
      <c r="Q67" s="344"/>
      <c r="R67" s="344"/>
      <c r="S67" s="344"/>
      <c r="T67" s="244"/>
      <c r="U67" s="344"/>
      <c r="V67" s="344"/>
      <c r="W67" s="344"/>
      <c r="X67" s="244"/>
      <c r="Y67" s="245"/>
      <c r="Z67" s="246"/>
      <c r="AA67" s="75"/>
      <c r="AB67" s="68"/>
      <c r="AC67" s="68"/>
      <c r="AD67" s="115"/>
      <c r="AE67" s="115"/>
      <c r="AF67" s="346"/>
    </row>
    <row r="68" spans="1:33" x14ac:dyDescent="0.25">
      <c r="A68" s="330"/>
      <c r="B68" s="341" t="s">
        <v>280</v>
      </c>
      <c r="C68" s="242"/>
      <c r="D68" s="342"/>
      <c r="E68" s="231" t="s">
        <v>467</v>
      </c>
      <c r="F68" s="9">
        <f>D68</f>
        <v>0</v>
      </c>
      <c r="G68" s="243">
        <f t="shared" ref="G68:G70" si="9">F68</f>
        <v>0</v>
      </c>
      <c r="H68" s="343"/>
      <c r="I68" s="343"/>
      <c r="J68" s="343"/>
      <c r="K68" s="343"/>
      <c r="L68" s="343"/>
      <c r="M68" s="181"/>
      <c r="N68" s="343"/>
      <c r="O68" s="344"/>
      <c r="P68" s="344"/>
      <c r="Q68" s="344"/>
      <c r="R68" s="344"/>
      <c r="S68" s="344"/>
      <c r="T68" s="244"/>
      <c r="U68" s="344"/>
      <c r="V68" s="344"/>
      <c r="W68" s="344"/>
      <c r="X68" s="244"/>
      <c r="Y68" s="245"/>
      <c r="Z68" s="246"/>
      <c r="AA68" s="75"/>
      <c r="AB68" s="68"/>
      <c r="AC68" s="68"/>
      <c r="AD68" s="115"/>
      <c r="AE68" s="115"/>
      <c r="AF68" s="346"/>
    </row>
    <row r="69" spans="1:33" x14ac:dyDescent="0.25">
      <c r="A69" s="330"/>
      <c r="B69" s="341" t="s">
        <v>279</v>
      </c>
      <c r="C69" s="242"/>
      <c r="D69" s="342"/>
      <c r="E69" s="231" t="s">
        <v>467</v>
      </c>
      <c r="F69" s="9">
        <f>D69</f>
        <v>0</v>
      </c>
      <c r="G69" s="243">
        <f t="shared" si="9"/>
        <v>0</v>
      </c>
      <c r="H69" s="343"/>
      <c r="I69" s="343"/>
      <c r="J69" s="343"/>
      <c r="K69" s="343"/>
      <c r="L69" s="343"/>
      <c r="M69" s="181"/>
      <c r="N69" s="343"/>
      <c r="O69" s="344"/>
      <c r="P69" s="344"/>
      <c r="Q69" s="344"/>
      <c r="R69" s="344"/>
      <c r="S69" s="344"/>
      <c r="T69" s="244"/>
      <c r="U69" s="344"/>
      <c r="V69" s="344"/>
      <c r="W69" s="344"/>
      <c r="X69" s="244"/>
      <c r="Y69" s="245"/>
      <c r="Z69" s="246"/>
      <c r="AA69" s="75"/>
      <c r="AB69" s="68"/>
      <c r="AC69" s="68"/>
      <c r="AD69" s="115"/>
      <c r="AE69" s="115"/>
      <c r="AF69" s="346"/>
    </row>
    <row r="70" spans="1:33" ht="15.75" thickBot="1" x14ac:dyDescent="0.3">
      <c r="A70" s="347"/>
      <c r="B70" s="348" t="s">
        <v>278</v>
      </c>
      <c r="C70" s="349"/>
      <c r="D70" s="350"/>
      <c r="E70" s="351" t="s">
        <v>467</v>
      </c>
      <c r="F70" s="352">
        <f>D70</f>
        <v>0</v>
      </c>
      <c r="G70" s="353">
        <f t="shared" si="9"/>
        <v>0</v>
      </c>
      <c r="H70" s="354"/>
      <c r="I70" s="354"/>
      <c r="J70" s="354"/>
      <c r="K70" s="354"/>
      <c r="L70" s="354"/>
      <c r="M70" s="355"/>
      <c r="N70" s="354"/>
      <c r="O70" s="356"/>
      <c r="P70" s="356"/>
      <c r="Q70" s="356"/>
      <c r="R70" s="356"/>
      <c r="S70" s="356"/>
      <c r="T70" s="357"/>
      <c r="U70" s="356"/>
      <c r="V70" s="356"/>
      <c r="W70" s="356"/>
      <c r="X70" s="357"/>
      <c r="Y70" s="358"/>
      <c r="Z70" s="359"/>
      <c r="AA70" s="360"/>
      <c r="AB70" s="361"/>
      <c r="AC70" s="361"/>
      <c r="AD70" s="362"/>
      <c r="AE70" s="362"/>
      <c r="AF70" s="363"/>
      <c r="AG70" s="124"/>
    </row>
    <row r="71" spans="1:33" ht="15" hidden="1" customHeight="1" outlineLevel="1" x14ac:dyDescent="0.25">
      <c r="B71" s="14" t="s">
        <v>68</v>
      </c>
      <c r="C71" s="164" t="s">
        <v>467</v>
      </c>
      <c r="D71" s="225"/>
      <c r="E71" s="173"/>
      <c r="F71" s="13">
        <v>2290</v>
      </c>
      <c r="G71" s="243" t="s">
        <v>469</v>
      </c>
      <c r="H71" s="182">
        <v>432</v>
      </c>
      <c r="I71" s="187"/>
      <c r="J71" s="187"/>
      <c r="K71" s="182">
        <v>3.39</v>
      </c>
      <c r="L71" s="183"/>
      <c r="M71" s="202">
        <v>-12.6</v>
      </c>
      <c r="N71" s="183"/>
      <c r="O71" s="187"/>
      <c r="P71" s="183"/>
      <c r="Q71" s="187"/>
      <c r="R71" s="187"/>
      <c r="S71" s="187"/>
      <c r="T71" s="247">
        <v>18.285057815858298</v>
      </c>
      <c r="U71" s="235"/>
      <c r="V71" s="235"/>
      <c r="W71" s="235"/>
      <c r="X71" s="247">
        <v>-8.3670952859999996</v>
      </c>
      <c r="Y71" s="238">
        <v>0</v>
      </c>
      <c r="Z71" s="248">
        <v>0.59399999999999997</v>
      </c>
      <c r="AA71" s="42">
        <v>2021</v>
      </c>
      <c r="AB71" s="60">
        <v>2026</v>
      </c>
      <c r="AC71" s="60"/>
      <c r="AD71" t="s">
        <v>69</v>
      </c>
      <c r="AF71" s="241" t="s">
        <v>70</v>
      </c>
    </row>
    <row r="72" spans="1:33" ht="15" hidden="1" customHeight="1" outlineLevel="1" x14ac:dyDescent="0.25">
      <c r="B72" s="16" t="s">
        <v>71</v>
      </c>
      <c r="C72" s="164" t="s">
        <v>467</v>
      </c>
      <c r="D72" s="225"/>
      <c r="E72" s="173"/>
      <c r="F72" s="13">
        <v>2371</v>
      </c>
      <c r="G72" s="243" t="s">
        <v>469</v>
      </c>
      <c r="H72" s="182">
        <v>374</v>
      </c>
      <c r="I72" s="187"/>
      <c r="J72" s="187"/>
      <c r="K72" s="182">
        <v>12.21</v>
      </c>
      <c r="L72" s="183"/>
      <c r="M72" s="203"/>
      <c r="N72" s="183"/>
      <c r="O72" s="187"/>
      <c r="P72" s="183"/>
      <c r="Q72" s="187"/>
      <c r="R72" s="187"/>
      <c r="S72" s="187"/>
      <c r="T72" s="247">
        <v>18.931821869606996</v>
      </c>
      <c r="U72" s="235"/>
      <c r="V72" s="235"/>
      <c r="W72" s="235"/>
      <c r="X72" s="247">
        <v>-8.6630493114</v>
      </c>
      <c r="Y72" s="238">
        <v>0</v>
      </c>
      <c r="Z72" s="248">
        <v>0.59399999999999997</v>
      </c>
      <c r="AA72" s="76">
        <v>2021</v>
      </c>
      <c r="AB72" s="61">
        <v>2026</v>
      </c>
      <c r="AC72" s="61"/>
      <c r="AD72" t="s">
        <v>72</v>
      </c>
      <c r="AF72" s="241" t="s">
        <v>73</v>
      </c>
    </row>
    <row r="73" spans="1:33" ht="15" hidden="1" customHeight="1" outlineLevel="1" x14ac:dyDescent="0.25">
      <c r="B73" s="16" t="s">
        <v>74</v>
      </c>
      <c r="C73" s="164" t="s">
        <v>468</v>
      </c>
      <c r="D73" s="225"/>
      <c r="E73" s="173"/>
      <c r="F73" s="13">
        <v>374.71</v>
      </c>
      <c r="G73" s="243" t="s">
        <v>470</v>
      </c>
      <c r="H73" s="182">
        <v>64.099999999999994</v>
      </c>
      <c r="I73" s="187"/>
      <c r="J73" s="187"/>
      <c r="K73" s="183"/>
      <c r="L73" s="183"/>
      <c r="M73" s="203"/>
      <c r="N73" s="183"/>
      <c r="O73" s="187"/>
      <c r="P73" s="183"/>
      <c r="Q73" s="187"/>
      <c r="R73" s="187"/>
      <c r="S73" s="187"/>
      <c r="T73" s="247">
        <v>19.57543541067157</v>
      </c>
      <c r="U73" s="235"/>
      <c r="V73" s="235"/>
      <c r="W73" s="235"/>
      <c r="X73" s="247">
        <v>-11.172643942650573</v>
      </c>
      <c r="Y73" s="238">
        <v>0.72</v>
      </c>
      <c r="Z73" s="248">
        <v>0.85786527000180612</v>
      </c>
      <c r="AA73" s="42">
        <v>2020</v>
      </c>
      <c r="AB73" s="60">
        <v>2025</v>
      </c>
      <c r="AC73" s="60"/>
      <c r="AD73" s="249" t="s">
        <v>471</v>
      </c>
      <c r="AF73" s="241" t="s">
        <v>75</v>
      </c>
    </row>
    <row r="74" spans="1:33" ht="15.75" collapsed="1" thickBot="1" x14ac:dyDescent="0.3">
      <c r="B74" s="1"/>
      <c r="C74" s="122"/>
      <c r="E74" s="122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AF74" s="274"/>
    </row>
    <row r="75" spans="1:33" ht="15" customHeight="1" x14ac:dyDescent="0.25">
      <c r="A75" s="310" t="s">
        <v>8</v>
      </c>
      <c r="B75" s="364" t="s">
        <v>423</v>
      </c>
      <c r="C75" s="365" t="s">
        <v>9</v>
      </c>
      <c r="D75" s="366"/>
      <c r="E75" s="367" t="s">
        <v>9</v>
      </c>
      <c r="F75" s="585">
        <v>7856</v>
      </c>
      <c r="G75" s="368">
        <v>1</v>
      </c>
      <c r="H75" s="369">
        <v>442</v>
      </c>
      <c r="I75" s="370"/>
      <c r="J75" s="370"/>
      <c r="K75" s="371">
        <v>40.1</v>
      </c>
      <c r="L75" s="371">
        <v>12.2</v>
      </c>
      <c r="M75" s="372"/>
      <c r="N75" s="373"/>
      <c r="O75" s="314"/>
      <c r="P75" s="317">
        <f>SUM(H75:L75,T75)</f>
        <v>503.69</v>
      </c>
      <c r="Q75" s="314"/>
      <c r="R75" s="314"/>
      <c r="S75" s="314"/>
      <c r="T75" s="375">
        <f>0.77+8.05+0.57+0</f>
        <v>9.39</v>
      </c>
      <c r="U75" s="314"/>
      <c r="V75" s="314"/>
      <c r="W75" s="314"/>
      <c r="X75" s="376">
        <f>IF((Z75-Y75)&lt;0,(Z75-Y75)*-ModulCD!$B$37*1000,(Z75-Y75)*ModulCD!$O$4*1000)</f>
        <v>78.174101499006639</v>
      </c>
      <c r="Y75" s="377">
        <v>1</v>
      </c>
      <c r="Z75" s="320">
        <v>0.85786527000180612</v>
      </c>
      <c r="AA75" s="378">
        <v>2020</v>
      </c>
      <c r="AB75" s="379">
        <v>2025</v>
      </c>
      <c r="AC75" s="429"/>
      <c r="AD75" s="123"/>
      <c r="AE75" s="123"/>
      <c r="AF75" s="380" t="s">
        <v>412</v>
      </c>
      <c r="AG75" s="381"/>
    </row>
    <row r="76" spans="1:33" s="116" customFormat="1" ht="17.25" customHeight="1" x14ac:dyDescent="0.25">
      <c r="A76" s="382"/>
      <c r="B76" s="383" t="s">
        <v>422</v>
      </c>
      <c r="C76" s="166" t="s">
        <v>9</v>
      </c>
      <c r="D76" s="384"/>
      <c r="E76" s="385" t="s">
        <v>9</v>
      </c>
      <c r="F76" s="586">
        <v>7850</v>
      </c>
      <c r="G76" s="88">
        <v>1</v>
      </c>
      <c r="H76" s="386">
        <v>689.5</v>
      </c>
      <c r="I76" s="387"/>
      <c r="J76" s="387"/>
      <c r="K76" s="325">
        <v>55.06</v>
      </c>
      <c r="L76" s="388">
        <v>12.2</v>
      </c>
      <c r="M76" s="256"/>
      <c r="N76" s="389"/>
      <c r="O76" s="390"/>
      <c r="P76" s="787">
        <f t="shared" ref="P76:P81" si="10">SUM(H76:L76,T76)</f>
        <v>782.56</v>
      </c>
      <c r="Q76" s="390"/>
      <c r="R76" s="390"/>
      <c r="S76" s="390"/>
      <c r="T76" s="198">
        <f>6.4+16.7+1.7+1</f>
        <v>25.8</v>
      </c>
      <c r="U76" s="390"/>
      <c r="V76" s="390"/>
      <c r="W76" s="390"/>
      <c r="X76" s="252">
        <f>IF((Z76-Y76)&lt;0,(Z76-Y76)*-ModulCD!$B$37*1000,(Z76-Y76)*ModulCD!$O$4*1000)</f>
        <v>-42.825898500993361</v>
      </c>
      <c r="Y76" s="107">
        <f>780/1000</f>
        <v>0.78</v>
      </c>
      <c r="Z76" s="257">
        <v>0.85786527000180612</v>
      </c>
      <c r="AA76" s="258">
        <v>2019</v>
      </c>
      <c r="AB76" s="259">
        <v>2025</v>
      </c>
      <c r="AC76" s="260" t="s">
        <v>76</v>
      </c>
      <c r="AF76" s="391" t="s">
        <v>416</v>
      </c>
      <c r="AG76" s="392"/>
    </row>
    <row r="77" spans="1:33" s="116" customFormat="1" ht="17.25" customHeight="1" x14ac:dyDescent="0.25">
      <c r="A77" s="382"/>
      <c r="B77" s="383" t="s">
        <v>424</v>
      </c>
      <c r="C77" s="166" t="s">
        <v>9</v>
      </c>
      <c r="D77" s="384"/>
      <c r="E77" s="385" t="s">
        <v>9</v>
      </c>
      <c r="F77" s="586">
        <f>AVERAGE(F75:F76)</f>
        <v>7853</v>
      </c>
      <c r="G77" s="88">
        <v>1</v>
      </c>
      <c r="H77" s="393">
        <f>AVERAGE(H75,H76)</f>
        <v>565.75</v>
      </c>
      <c r="I77" s="393"/>
      <c r="J77" s="393"/>
      <c r="K77" s="394">
        <f t="shared" ref="K77:L77" si="11">AVERAGE(K75,K76)</f>
        <v>47.58</v>
      </c>
      <c r="L77" s="388">
        <f t="shared" si="11"/>
        <v>12.2</v>
      </c>
      <c r="M77" s="256"/>
      <c r="N77" s="389"/>
      <c r="O77" s="390"/>
      <c r="P77" s="787">
        <f t="shared" si="10"/>
        <v>643.12500000000011</v>
      </c>
      <c r="Q77" s="390"/>
      <c r="R77" s="390"/>
      <c r="S77" s="390"/>
      <c r="T77" s="214">
        <f t="shared" ref="T77" si="12">AVERAGE(T75,T76)</f>
        <v>17.594999999999999</v>
      </c>
      <c r="U77" s="390"/>
      <c r="V77" s="390"/>
      <c r="W77" s="390"/>
      <c r="X77" s="252">
        <f>IF((Z77-Y77)&lt;0,(Z77-Y77)*-ModulCD!$B$37*1000,(Z77-Y77)*ModulCD!$O$4*1000)</f>
        <v>17.674101499006639</v>
      </c>
      <c r="Y77" s="261">
        <f t="shared" ref="Y77:Z77" si="13">AVERAGE(Y75,Y76)</f>
        <v>0.89</v>
      </c>
      <c r="Z77" s="262">
        <f t="shared" si="13"/>
        <v>0.85786527000180612</v>
      </c>
      <c r="AA77" s="263"/>
      <c r="AB77" s="264"/>
      <c r="AC77" s="265"/>
      <c r="AF77" s="395"/>
      <c r="AG77" s="392"/>
    </row>
    <row r="78" spans="1:33" ht="15" customHeight="1" x14ac:dyDescent="0.25">
      <c r="A78" s="396"/>
      <c r="B78" s="397" t="s">
        <v>426</v>
      </c>
      <c r="C78" s="165" t="s">
        <v>9</v>
      </c>
      <c r="D78" s="398"/>
      <c r="E78" s="399" t="s">
        <v>9</v>
      </c>
      <c r="F78" s="586">
        <v>7850</v>
      </c>
      <c r="G78" s="87">
        <v>1</v>
      </c>
      <c r="H78" s="400">
        <v>463.8</v>
      </c>
      <c r="I78" s="180"/>
      <c r="J78" s="180"/>
      <c r="K78" s="325">
        <v>55.06</v>
      </c>
      <c r="L78" s="401">
        <v>12.2</v>
      </c>
      <c r="M78" s="201"/>
      <c r="N78" s="389"/>
      <c r="O78" s="180"/>
      <c r="P78" s="436">
        <f t="shared" si="10"/>
        <v>534.09</v>
      </c>
      <c r="Q78" s="180"/>
      <c r="R78" s="180"/>
      <c r="S78" s="180"/>
      <c r="T78" s="215">
        <f>1.6+1.43</f>
        <v>3.0300000000000002</v>
      </c>
      <c r="U78" s="235"/>
      <c r="V78" s="235"/>
      <c r="W78" s="235"/>
      <c r="X78" s="252">
        <f>IF((Z78-Y78)&lt;0,(Z78-Y78)*-ModulCD!$B$37*1000,(Z78-Y78)*ModulCD!$O$4*1000)</f>
        <v>47.704101499006633</v>
      </c>
      <c r="Y78" s="52">
        <v>0.9446</v>
      </c>
      <c r="Z78" s="239">
        <v>0.85786527000180612</v>
      </c>
      <c r="AA78" s="77">
        <v>2021</v>
      </c>
      <c r="AB78" s="62">
        <v>2026</v>
      </c>
      <c r="AC78" s="266" t="s">
        <v>76</v>
      </c>
      <c r="AD78" s="11"/>
      <c r="AE78" s="11"/>
      <c r="AF78" s="267" t="s">
        <v>414</v>
      </c>
      <c r="AG78" s="217"/>
    </row>
    <row r="79" spans="1:33" ht="15" customHeight="1" x14ac:dyDescent="0.25">
      <c r="A79" s="396"/>
      <c r="B79" s="397" t="s">
        <v>427</v>
      </c>
      <c r="C79" s="165" t="s">
        <v>9</v>
      </c>
      <c r="D79" s="398"/>
      <c r="E79" s="399" t="s">
        <v>9</v>
      </c>
      <c r="F79" s="586">
        <v>7850</v>
      </c>
      <c r="G79" s="87">
        <v>1</v>
      </c>
      <c r="H79" s="400">
        <v>716.5</v>
      </c>
      <c r="I79" s="180"/>
      <c r="J79" s="180"/>
      <c r="K79" s="325">
        <v>55.06</v>
      </c>
      <c r="L79" s="401">
        <v>12.2</v>
      </c>
      <c r="M79" s="201"/>
      <c r="N79" s="389"/>
      <c r="O79" s="180"/>
      <c r="P79" s="436">
        <f t="shared" si="10"/>
        <v>809.46</v>
      </c>
      <c r="Q79" s="180"/>
      <c r="R79" s="180"/>
      <c r="S79" s="180"/>
      <c r="T79" s="198">
        <f>6.4+16.7+1.7+0.9</f>
        <v>25.7</v>
      </c>
      <c r="U79" s="235"/>
      <c r="V79" s="235"/>
      <c r="W79" s="235"/>
      <c r="X79" s="252">
        <f>IF((Z79-Y79)&lt;0,(Z79-Y79)*-ModulCD!$B$37*1000,(Z79-Y79)*ModulCD!$O$4*1000)</f>
        <v>-36.225898500993353</v>
      </c>
      <c r="Y79" s="52">
        <f>792/1000</f>
        <v>0.79200000000000004</v>
      </c>
      <c r="Z79" s="239">
        <f>Z78</f>
        <v>0.85786527000180612</v>
      </c>
      <c r="AA79" s="77">
        <v>2019</v>
      </c>
      <c r="AB79" s="62">
        <v>2025</v>
      </c>
      <c r="AC79" s="266" t="s">
        <v>76</v>
      </c>
      <c r="AD79" s="11"/>
      <c r="AE79" s="11"/>
      <c r="AF79" s="267" t="s">
        <v>413</v>
      </c>
      <c r="AG79" s="217"/>
    </row>
    <row r="80" spans="1:33" ht="15" customHeight="1" x14ac:dyDescent="0.25">
      <c r="A80" s="396"/>
      <c r="B80" s="397" t="s">
        <v>428</v>
      </c>
      <c r="C80" s="165" t="s">
        <v>9</v>
      </c>
      <c r="D80" s="398"/>
      <c r="E80" s="399" t="s">
        <v>9</v>
      </c>
      <c r="F80" s="586">
        <v>7850</v>
      </c>
      <c r="G80" s="87">
        <v>1</v>
      </c>
      <c r="H80" s="393">
        <f>AVERAGE(H78,H79)</f>
        <v>590.15</v>
      </c>
      <c r="I80" s="393"/>
      <c r="J80" s="393"/>
      <c r="K80" s="394">
        <f t="shared" ref="K80" si="14">AVERAGE(K78,K79)</f>
        <v>55.06</v>
      </c>
      <c r="L80" s="388">
        <f t="shared" ref="L80" si="15">AVERAGE(L78,L79)</f>
        <v>12.2</v>
      </c>
      <c r="M80" s="201"/>
      <c r="N80" s="389"/>
      <c r="O80" s="180"/>
      <c r="P80" s="436">
        <f t="shared" si="10"/>
        <v>671.77500000000009</v>
      </c>
      <c r="Q80" s="180"/>
      <c r="R80" s="180"/>
      <c r="S80" s="180"/>
      <c r="T80" s="216">
        <f t="shared" ref="T80" si="16">AVERAGE(T78,T79)</f>
        <v>14.365</v>
      </c>
      <c r="U80" s="235"/>
      <c r="V80" s="235"/>
      <c r="W80" s="235"/>
      <c r="X80" s="252">
        <f>IF((Z80-Y80)&lt;0,(Z80-Y80)*-ModulCD!$B$37*1000,(Z80-Y80)*ModulCD!$O$4*1000)</f>
        <v>5.7391014990066722</v>
      </c>
      <c r="Y80" s="261">
        <f t="shared" ref="Y80" si="17">AVERAGE(Y78,Y79)</f>
        <v>0.86830000000000007</v>
      </c>
      <c r="Z80" s="262">
        <f t="shared" ref="Z80" si="18">AVERAGE(Z78,Z79)</f>
        <v>0.85786527000180612</v>
      </c>
      <c r="AA80" s="108"/>
      <c r="AB80" s="109"/>
      <c r="AC80" s="127"/>
      <c r="AD80" s="11"/>
      <c r="AE80" s="11"/>
      <c r="AF80" s="274"/>
      <c r="AG80" s="217"/>
    </row>
    <row r="81" spans="1:33" ht="15" customHeight="1" x14ac:dyDescent="0.25">
      <c r="A81" s="396"/>
      <c r="B81" s="397" t="s">
        <v>425</v>
      </c>
      <c r="C81" s="165" t="s">
        <v>9</v>
      </c>
      <c r="D81" s="398"/>
      <c r="E81" s="403" t="s">
        <v>9</v>
      </c>
      <c r="F81" s="586">
        <v>7850</v>
      </c>
      <c r="G81" s="243">
        <v>1</v>
      </c>
      <c r="H81" s="400">
        <v>774.59999999999991</v>
      </c>
      <c r="I81" s="180"/>
      <c r="J81" s="180"/>
      <c r="K81" s="325">
        <v>55.06</v>
      </c>
      <c r="L81" s="401">
        <v>12.2</v>
      </c>
      <c r="M81" s="251"/>
      <c r="N81" s="389"/>
      <c r="O81" s="235"/>
      <c r="P81" s="328">
        <f t="shared" si="10"/>
        <v>867.56</v>
      </c>
      <c r="Q81" s="235"/>
      <c r="R81" s="235"/>
      <c r="S81" s="235"/>
      <c r="T81" s="198">
        <f>6.4+16.7+1.7+0.9</f>
        <v>25.7</v>
      </c>
      <c r="U81" s="235"/>
      <c r="V81" s="235"/>
      <c r="W81" s="235"/>
      <c r="X81" s="252">
        <f>IF((Z81-Y81)&lt;0,(Z81-Y81)*-ModulCD!$B$37*1000,(Z81-Y81)*ModulCD!$O$4*1000)</f>
        <v>-30.725898500993345</v>
      </c>
      <c r="Y81" s="52">
        <f>802/1000</f>
        <v>0.80200000000000005</v>
      </c>
      <c r="Z81" s="239">
        <v>0.85786527000180612</v>
      </c>
      <c r="AA81" s="254">
        <v>2019</v>
      </c>
      <c r="AB81" s="255">
        <v>2025</v>
      </c>
      <c r="AC81" s="266" t="s">
        <v>76</v>
      </c>
      <c r="AF81" s="267" t="s">
        <v>413</v>
      </c>
      <c r="AG81" s="217"/>
    </row>
    <row r="82" spans="1:33" ht="15.75" thickBot="1" x14ac:dyDescent="0.3">
      <c r="A82" s="404"/>
      <c r="B82" s="348" t="s">
        <v>239</v>
      </c>
      <c r="C82" s="349"/>
      <c r="D82" s="350"/>
      <c r="E82" s="351" t="s">
        <v>9</v>
      </c>
      <c r="F82" s="352">
        <f>D82</f>
        <v>0</v>
      </c>
      <c r="G82" s="353">
        <f>F82</f>
        <v>0</v>
      </c>
      <c r="H82" s="354"/>
      <c r="I82" s="354"/>
      <c r="J82" s="354"/>
      <c r="K82" s="354"/>
      <c r="L82" s="354"/>
      <c r="M82" s="355"/>
      <c r="N82" s="354"/>
      <c r="O82" s="356"/>
      <c r="P82" s="356"/>
      <c r="Q82" s="356"/>
      <c r="R82" s="356"/>
      <c r="S82" s="356"/>
      <c r="T82" s="357"/>
      <c r="U82" s="356"/>
      <c r="V82" s="356"/>
      <c r="W82" s="356"/>
      <c r="X82" s="357"/>
      <c r="Y82" s="358"/>
      <c r="Z82" s="359"/>
      <c r="AA82" s="360"/>
      <c r="AB82" s="361"/>
      <c r="AC82" s="361"/>
      <c r="AD82" s="362"/>
      <c r="AE82" s="362"/>
      <c r="AF82" s="363"/>
      <c r="AG82" s="124"/>
    </row>
    <row r="83" spans="1:33" s="13" customFormat="1" ht="15" hidden="1" customHeight="1" outlineLevel="1" x14ac:dyDescent="0.25">
      <c r="A83" s="14"/>
      <c r="B83" s="16" t="s">
        <v>77</v>
      </c>
      <c r="C83" s="164" t="s">
        <v>238</v>
      </c>
      <c r="D83" s="225"/>
      <c r="E83" s="173"/>
      <c r="F83" s="13">
        <v>7850</v>
      </c>
      <c r="G83" s="243"/>
      <c r="H83" s="186"/>
      <c r="I83" s="187"/>
      <c r="J83" s="187"/>
      <c r="K83" s="183"/>
      <c r="L83" s="183"/>
      <c r="M83" s="203"/>
      <c r="N83" s="183"/>
      <c r="O83" s="187"/>
      <c r="P83" s="183"/>
      <c r="Q83" s="187"/>
      <c r="R83" s="187"/>
      <c r="S83" s="187"/>
      <c r="T83" s="247"/>
      <c r="U83" s="235"/>
      <c r="V83" s="235"/>
      <c r="W83" s="235"/>
      <c r="X83" s="247"/>
      <c r="Y83" s="53"/>
      <c r="Z83" s="248"/>
      <c r="AA83" s="42"/>
      <c r="AB83" s="60"/>
      <c r="AC83" s="61"/>
      <c r="AD83" s="15" t="s">
        <v>78</v>
      </c>
      <c r="AE83" s="15"/>
      <c r="AF83" s="241" t="s">
        <v>79</v>
      </c>
    </row>
    <row r="84" spans="1:33" s="13" customFormat="1" ht="15" hidden="1" customHeight="1" outlineLevel="1" x14ac:dyDescent="0.25">
      <c r="A84" s="16"/>
      <c r="B84" s="16" t="s">
        <v>80</v>
      </c>
      <c r="C84" s="164" t="s">
        <v>238</v>
      </c>
      <c r="D84" s="225"/>
      <c r="E84" s="173"/>
      <c r="F84" s="13">
        <v>7850</v>
      </c>
      <c r="G84" s="243"/>
      <c r="H84" s="182"/>
      <c r="I84" s="187"/>
      <c r="J84" s="187"/>
      <c r="K84" s="183"/>
      <c r="L84" s="183"/>
      <c r="M84" s="203"/>
      <c r="N84" s="183"/>
      <c r="O84" s="187"/>
      <c r="P84" s="183"/>
      <c r="Q84" s="187"/>
      <c r="R84" s="187"/>
      <c r="S84" s="187"/>
      <c r="T84" s="247"/>
      <c r="U84" s="235"/>
      <c r="V84" s="235"/>
      <c r="W84" s="235"/>
      <c r="X84" s="247"/>
      <c r="Y84" s="53"/>
      <c r="Z84" s="248"/>
      <c r="AA84" s="78"/>
      <c r="AB84" s="63"/>
      <c r="AC84" s="83"/>
      <c r="AD84" s="13" t="s">
        <v>81</v>
      </c>
      <c r="AF84" s="241" t="s">
        <v>82</v>
      </c>
    </row>
    <row r="85" spans="1:33" ht="15.75" collapsed="1" thickBot="1" x14ac:dyDescent="0.3">
      <c r="B85" s="1"/>
      <c r="C85" s="122"/>
      <c r="E85" s="122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AF85" s="274"/>
    </row>
    <row r="86" spans="1:33" ht="15" customHeight="1" x14ac:dyDescent="0.25">
      <c r="A86" s="405" t="s">
        <v>83</v>
      </c>
      <c r="B86" s="406" t="s">
        <v>491</v>
      </c>
      <c r="C86" s="311" t="s">
        <v>9</v>
      </c>
      <c r="D86" s="407"/>
      <c r="E86" s="408" t="s">
        <v>9</v>
      </c>
      <c r="F86" s="585">
        <v>7850</v>
      </c>
      <c r="G86" s="409">
        <v>1</v>
      </c>
      <c r="H86" s="371">
        <v>1866</v>
      </c>
      <c r="I86" s="314"/>
      <c r="J86" s="314"/>
      <c r="K86" s="315">
        <v>55.06</v>
      </c>
      <c r="L86" s="317">
        <v>24.4</v>
      </c>
      <c r="M86" s="372"/>
      <c r="N86" s="373"/>
      <c r="O86" s="314"/>
      <c r="P86" s="410">
        <f>H86+K86+L86+T86+IF($X$1="included",X86,0)</f>
        <v>1978.2950000000001</v>
      </c>
      <c r="Q86" s="314"/>
      <c r="R86" s="314"/>
      <c r="S86" s="314"/>
      <c r="T86" s="411">
        <f>(0.0055+0.00817+0.0185+0.000665)*1000</f>
        <v>32.834999999999994</v>
      </c>
      <c r="U86" s="314"/>
      <c r="V86" s="314"/>
      <c r="W86" s="314"/>
      <c r="X86" s="376">
        <f>IF((Z86-Y86)&lt;0,(Z86-Y86)*-ModulCD!$B$37*1000,(Z86-Y86)*ModulCD!$O$4*1000)</f>
        <v>-216.69225212208781</v>
      </c>
      <c r="Y86" s="319">
        <v>0.5</v>
      </c>
      <c r="Z86" s="320">
        <f>ModulCD!$F$5</f>
        <v>0.89398591294925056</v>
      </c>
      <c r="AA86" s="378">
        <v>2020</v>
      </c>
      <c r="AB86" s="379">
        <v>2025</v>
      </c>
      <c r="AC86" s="412" t="s">
        <v>540</v>
      </c>
      <c r="AD86" s="123"/>
      <c r="AE86" s="123"/>
      <c r="AF86" s="413" t="s">
        <v>492</v>
      </c>
      <c r="AG86" s="381"/>
    </row>
    <row r="87" spans="1:33" ht="15" customHeight="1" x14ac:dyDescent="0.25">
      <c r="A87" s="329"/>
      <c r="B87" s="1" t="s">
        <v>429</v>
      </c>
      <c r="C87" s="233" t="s">
        <v>9</v>
      </c>
      <c r="D87" s="308"/>
      <c r="E87" s="309" t="s">
        <v>9</v>
      </c>
      <c r="F87" s="586">
        <v>7850</v>
      </c>
      <c r="G87" s="243">
        <v>1</v>
      </c>
      <c r="H87" s="414">
        <v>2190</v>
      </c>
      <c r="I87" s="235"/>
      <c r="J87" s="235"/>
      <c r="K87" s="325">
        <v>55.06</v>
      </c>
      <c r="L87" s="328">
        <v>24.4</v>
      </c>
      <c r="M87" s="251"/>
      <c r="N87" s="389"/>
      <c r="O87" s="235"/>
      <c r="P87" s="415">
        <f>H87+K87+L87+T87+IF($X$1="included",X87,0)</f>
        <v>2371.56</v>
      </c>
      <c r="Q87" s="235"/>
      <c r="R87" s="235"/>
      <c r="S87" s="235"/>
      <c r="T87" s="268">
        <f>53.7+22.7+15.1+10.6</f>
        <v>102.1</v>
      </c>
      <c r="U87" s="235"/>
      <c r="V87" s="235"/>
      <c r="W87" s="235"/>
      <c r="X87" s="252">
        <f>IF((Z87-Y87)&lt;0,(Z87-Y87)*-ModulCD!$B$37*1000,(Z87-Y87)*ModulCD!$O$4*1000)</f>
        <v>-255.19225212208784</v>
      </c>
      <c r="Y87" s="253">
        <v>0.43</v>
      </c>
      <c r="Z87" s="239">
        <f>ModulCD!$F$5</f>
        <v>0.89398591294925056</v>
      </c>
      <c r="AA87" s="254">
        <v>2022</v>
      </c>
      <c r="AB87" s="255">
        <v>2027</v>
      </c>
      <c r="AC87" s="266" t="s">
        <v>84</v>
      </c>
      <c r="AF87" s="416" t="s">
        <v>430</v>
      </c>
      <c r="AG87" s="217"/>
    </row>
    <row r="88" spans="1:33" ht="15" customHeight="1" x14ac:dyDescent="0.25">
      <c r="A88" s="417" t="s">
        <v>85</v>
      </c>
      <c r="B88" s="1" t="s">
        <v>431</v>
      </c>
      <c r="C88" s="233" t="s">
        <v>9</v>
      </c>
      <c r="D88" s="308"/>
      <c r="E88" s="309" t="s">
        <v>9</v>
      </c>
      <c r="F88" s="586">
        <v>7850</v>
      </c>
      <c r="G88" s="243">
        <v>1</v>
      </c>
      <c r="H88" s="393">
        <f>AVERAGE(H86,H87)</f>
        <v>2028</v>
      </c>
      <c r="I88" s="393"/>
      <c r="J88" s="393"/>
      <c r="K88" s="394">
        <f t="shared" ref="K88:L88" si="19">AVERAGE(K86,K87)</f>
        <v>55.06</v>
      </c>
      <c r="L88" s="388">
        <f t="shared" si="19"/>
        <v>24.4</v>
      </c>
      <c r="M88" s="201"/>
      <c r="N88" s="389"/>
      <c r="O88" s="180"/>
      <c r="P88" s="402"/>
      <c r="Q88" s="180"/>
      <c r="R88" s="180"/>
      <c r="S88" s="180"/>
      <c r="T88" s="185">
        <f t="shared" ref="T88" si="20">AVERAGE(T86,T87)</f>
        <v>67.467500000000001</v>
      </c>
      <c r="U88" s="235"/>
      <c r="V88" s="235"/>
      <c r="W88" s="235"/>
      <c r="X88" s="252">
        <f>IF((Z88-Y88)&lt;0,(Z88-Y88)*-ModulCD!$B$37*1000,(Z88-Y88)*ModulCD!$O$4*1000)</f>
        <v>-235.94225212208784</v>
      </c>
      <c r="Y88" s="261">
        <f>AVERAGE(Y86,Y87)</f>
        <v>0.46499999999999997</v>
      </c>
      <c r="Z88" s="262">
        <f t="shared" ref="Z88" si="21">AVERAGE(Z86,Z87)</f>
        <v>0.89398591294925056</v>
      </c>
      <c r="AA88" s="108"/>
      <c r="AB88" s="109"/>
      <c r="AC88" s="127"/>
      <c r="AD88" s="12"/>
      <c r="AF88" s="274"/>
    </row>
    <row r="89" spans="1:33" ht="15.75" thickBot="1" x14ac:dyDescent="0.3">
      <c r="A89" s="347"/>
      <c r="B89" s="348" t="s">
        <v>240</v>
      </c>
      <c r="C89" s="349"/>
      <c r="D89" s="350"/>
      <c r="E89" s="351" t="s">
        <v>9</v>
      </c>
      <c r="F89" s="352">
        <f>D89</f>
        <v>0</v>
      </c>
      <c r="G89" s="353">
        <f>F89</f>
        <v>0</v>
      </c>
      <c r="H89" s="354"/>
      <c r="I89" s="354"/>
      <c r="J89" s="354"/>
      <c r="K89" s="354"/>
      <c r="L89" s="354"/>
      <c r="M89" s="355"/>
      <c r="N89" s="354"/>
      <c r="O89" s="356"/>
      <c r="P89" s="356"/>
      <c r="Q89" s="356"/>
      <c r="R89" s="356"/>
      <c r="S89" s="356"/>
      <c r="T89" s="357"/>
      <c r="U89" s="356"/>
      <c r="V89" s="356"/>
      <c r="W89" s="356"/>
      <c r="X89" s="357"/>
      <c r="Y89" s="358"/>
      <c r="Z89" s="359"/>
      <c r="AA89" s="360"/>
      <c r="AB89" s="361"/>
      <c r="AC89" s="361"/>
      <c r="AD89" s="362"/>
      <c r="AE89" s="362"/>
      <c r="AF89" s="363"/>
      <c r="AG89" s="124"/>
    </row>
    <row r="90" spans="1:33" ht="15" hidden="1" customHeight="1" outlineLevel="1" x14ac:dyDescent="0.25">
      <c r="B90" s="16" t="s">
        <v>86</v>
      </c>
      <c r="C90" s="164" t="s">
        <v>238</v>
      </c>
      <c r="D90" s="225"/>
      <c r="E90" s="173"/>
      <c r="F90" s="13"/>
      <c r="G90" s="243"/>
      <c r="H90" s="186">
        <v>2719</v>
      </c>
      <c r="I90" s="187"/>
      <c r="J90" s="187"/>
      <c r="K90" s="188"/>
      <c r="L90" s="188"/>
      <c r="M90" s="203"/>
      <c r="N90" s="183"/>
      <c r="O90" s="187"/>
      <c r="P90" s="183"/>
      <c r="Q90" s="187"/>
      <c r="R90" s="187"/>
      <c r="S90" s="187"/>
      <c r="T90" s="247">
        <v>60.368983404304934</v>
      </c>
      <c r="U90" s="235"/>
      <c r="V90" s="235"/>
      <c r="W90" s="235"/>
      <c r="X90" s="247">
        <v>50.006856922958249</v>
      </c>
      <c r="Y90" s="53">
        <v>1</v>
      </c>
      <c r="Z90" s="248">
        <v>0.85786527000180612</v>
      </c>
      <c r="AA90" s="254">
        <v>2020</v>
      </c>
      <c r="AB90" s="255">
        <v>2025</v>
      </c>
      <c r="AC90" s="61"/>
      <c r="AD90" s="17"/>
      <c r="AE90" s="13"/>
      <c r="AF90" s="241" t="s">
        <v>87</v>
      </c>
    </row>
    <row r="91" spans="1:33" ht="15.75" collapsed="1" thickBot="1" x14ac:dyDescent="0.3">
      <c r="B91" s="1"/>
      <c r="C91" s="122"/>
      <c r="D91" s="308"/>
      <c r="E91" s="308"/>
      <c r="H91" s="250"/>
      <c r="I91" s="250"/>
      <c r="J91" s="250"/>
      <c r="K91" s="250"/>
      <c r="L91" s="250"/>
      <c r="M91" s="250"/>
      <c r="N91" s="634"/>
      <c r="O91" s="250"/>
      <c r="P91" s="250"/>
      <c r="Q91" s="250"/>
      <c r="R91" s="250"/>
      <c r="S91" s="250"/>
      <c r="T91" s="250"/>
      <c r="U91" s="250"/>
      <c r="V91" s="250"/>
      <c r="W91" s="250"/>
      <c r="X91" s="250"/>
    </row>
    <row r="92" spans="1:33" ht="15" customHeight="1" x14ac:dyDescent="0.25">
      <c r="A92" s="310" t="s">
        <v>10</v>
      </c>
      <c r="B92" s="406" t="s">
        <v>507</v>
      </c>
      <c r="C92" s="311" t="s">
        <v>9</v>
      </c>
      <c r="D92" s="312"/>
      <c r="E92" s="313" t="s">
        <v>9</v>
      </c>
      <c r="F92" s="585">
        <v>7850</v>
      </c>
      <c r="G92" s="409">
        <v>1</v>
      </c>
      <c r="H92" s="424">
        <v>333</v>
      </c>
      <c r="I92" s="314"/>
      <c r="J92" s="314"/>
      <c r="K92" s="315">
        <v>55.06</v>
      </c>
      <c r="L92" s="316">
        <v>12.2</v>
      </c>
      <c r="M92" s="372"/>
      <c r="N92" s="758"/>
      <c r="O92" s="314"/>
      <c r="P92" s="410">
        <f>H92+K92+L92+T92+IF($X$1="included",X92,0)</f>
        <v>402</v>
      </c>
      <c r="Q92" s="314"/>
      <c r="R92" s="314"/>
      <c r="S92" s="314"/>
      <c r="T92" s="425">
        <f>1.6+0.14</f>
        <v>1.7400000000000002</v>
      </c>
      <c r="U92" s="314"/>
      <c r="V92" s="314"/>
      <c r="W92" s="314"/>
      <c r="X92" s="318">
        <f>IF((Z92-Y92)&lt;0,(Z92-Y92)*-ModulCD!$B$44*1000,(Z92-Y92)*ModulCD!$O$5*1000)</f>
        <v>58.307747877912192</v>
      </c>
      <c r="Y92" s="377">
        <v>1</v>
      </c>
      <c r="Z92" s="320">
        <f>ModulCD!$F$5</f>
        <v>0.89398591294925056</v>
      </c>
      <c r="AA92" s="378">
        <v>2021</v>
      </c>
      <c r="AB92" s="379">
        <v>2026</v>
      </c>
      <c r="AC92" s="412" t="s">
        <v>541</v>
      </c>
      <c r="AD92" s="123"/>
      <c r="AE92" s="123"/>
      <c r="AF92" s="426" t="s">
        <v>438</v>
      </c>
      <c r="AG92" s="381"/>
    </row>
    <row r="93" spans="1:33" ht="15" customHeight="1" x14ac:dyDescent="0.25">
      <c r="A93" s="396"/>
      <c r="B93" s="1" t="s">
        <v>633</v>
      </c>
      <c r="C93" s="233" t="s">
        <v>9</v>
      </c>
      <c r="E93" s="231" t="s">
        <v>9</v>
      </c>
      <c r="F93" s="586">
        <v>7850</v>
      </c>
      <c r="G93" s="243">
        <v>1</v>
      </c>
      <c r="H93" s="335">
        <v>677</v>
      </c>
      <c r="I93" s="235"/>
      <c r="J93" s="235"/>
      <c r="K93" s="325">
        <v>55.06</v>
      </c>
      <c r="L93" s="331">
        <v>12.2</v>
      </c>
      <c r="M93" s="251"/>
      <c r="N93" s="758"/>
      <c r="O93" s="235"/>
      <c r="P93" s="415">
        <f t="shared" ref="P93:P101" si="22">H93+K93+L93+T93+IF($X$1="included",X93,0)</f>
        <v>764.31999999999994</v>
      </c>
      <c r="Q93" s="235"/>
      <c r="R93" s="235"/>
      <c r="S93" s="235"/>
      <c r="T93" s="269">
        <f>5.41+14.65</f>
        <v>20.060000000000002</v>
      </c>
      <c r="U93" s="235"/>
      <c r="V93" s="235"/>
      <c r="W93" s="235"/>
      <c r="X93" s="237">
        <f>IF((Z93-Y93)&lt;0,(Z93-Y93)*-ModulCD!$B$44*1000,(Z93-Y93)*ModulCD!$O$5*1000)</f>
        <v>58.307747877912192</v>
      </c>
      <c r="Y93" s="238">
        <v>1</v>
      </c>
      <c r="Z93" s="239">
        <f>ModulCD!$F$5</f>
        <v>0.89398591294925056</v>
      </c>
      <c r="AA93" s="254">
        <v>2021</v>
      </c>
      <c r="AB93" s="255">
        <v>2026</v>
      </c>
      <c r="AC93" s="266" t="s">
        <v>541</v>
      </c>
      <c r="AF93" s="267" t="s">
        <v>634</v>
      </c>
      <c r="AG93" s="217"/>
    </row>
    <row r="94" spans="1:33" ht="15" customHeight="1" x14ac:dyDescent="0.25">
      <c r="A94" s="396"/>
      <c r="B94" s="1" t="s">
        <v>432</v>
      </c>
      <c r="C94" s="233" t="s">
        <v>9</v>
      </c>
      <c r="E94" s="231" t="s">
        <v>9</v>
      </c>
      <c r="F94" s="586">
        <v>7850</v>
      </c>
      <c r="G94" s="243">
        <v>1</v>
      </c>
      <c r="H94" s="427">
        <f>AVERAGE(H92,H93)</f>
        <v>505</v>
      </c>
      <c r="I94" s="393"/>
      <c r="J94" s="393"/>
      <c r="K94" s="394">
        <f t="shared" ref="K94" si="23">AVERAGE(K92,K93)</f>
        <v>55.06</v>
      </c>
      <c r="L94" s="388">
        <f>AVERAGE(L92,L93)</f>
        <v>12.2</v>
      </c>
      <c r="M94" s="201"/>
      <c r="N94" s="758"/>
      <c r="O94" s="180"/>
      <c r="P94" s="415">
        <f t="shared" si="22"/>
        <v>583.16</v>
      </c>
      <c r="Q94" s="180"/>
      <c r="R94" s="180"/>
      <c r="S94" s="180"/>
      <c r="T94" s="185">
        <f t="shared" ref="T94" si="24">AVERAGE(T92,T93)</f>
        <v>10.900000000000002</v>
      </c>
      <c r="U94" s="235"/>
      <c r="V94" s="235"/>
      <c r="W94" s="235"/>
      <c r="X94" s="236">
        <f>IF((Z94-Y94)&lt;0,(Z94-Y94)*-ModulCD!$B$44*1000,(Z94-Y94)*ModulCD!$O$5*1000)</f>
        <v>58.307747877912192</v>
      </c>
      <c r="Y94" s="270">
        <v>1</v>
      </c>
      <c r="Z94" s="271">
        <f>AVERAGE(Z92:Z93)</f>
        <v>0.89398591294925056</v>
      </c>
      <c r="AA94" s="272"/>
      <c r="AB94" s="273"/>
      <c r="AC94" s="127"/>
      <c r="AE94" s="122" t="s">
        <v>636</v>
      </c>
      <c r="AF94" s="274" t="s">
        <v>635</v>
      </c>
      <c r="AG94" s="217"/>
    </row>
    <row r="95" spans="1:33" ht="15" customHeight="1" x14ac:dyDescent="0.25">
      <c r="A95" s="396"/>
      <c r="B95" s="1" t="s">
        <v>433</v>
      </c>
      <c r="C95" s="233" t="s">
        <v>9</v>
      </c>
      <c r="E95" s="231" t="s">
        <v>9</v>
      </c>
      <c r="F95" s="586">
        <v>7850</v>
      </c>
      <c r="G95" s="243">
        <v>1</v>
      </c>
      <c r="H95" s="335">
        <v>2430</v>
      </c>
      <c r="I95" s="235"/>
      <c r="J95" s="235"/>
      <c r="K95" s="328">
        <f>K75</f>
        <v>40.1</v>
      </c>
      <c r="L95" s="331">
        <v>12.2</v>
      </c>
      <c r="M95" s="251"/>
      <c r="N95" s="758"/>
      <c r="O95" s="235"/>
      <c r="P95" s="415">
        <f t="shared" si="22"/>
        <v>2487.7399999999998</v>
      </c>
      <c r="Q95" s="235"/>
      <c r="R95" s="235"/>
      <c r="S95" s="235"/>
      <c r="T95" s="269">
        <f>3.02+2.42</f>
        <v>5.4399999999999995</v>
      </c>
      <c r="U95" s="235"/>
      <c r="V95" s="235"/>
      <c r="W95" s="235"/>
      <c r="X95" s="237">
        <f>IF((Z95-Y95)&lt;0,(Z95-Y95)*-ModulCD!$B$44*1000,(Z95-Y95)*ModulCD!$O$5*1000)</f>
        <v>-354.19225212208784</v>
      </c>
      <c r="Y95" s="253">
        <v>0.25</v>
      </c>
      <c r="Z95" s="239">
        <f>ModulCD!$F$5</f>
        <v>0.89398591294925056</v>
      </c>
      <c r="AA95" s="254">
        <v>2023</v>
      </c>
      <c r="AB95" s="255">
        <v>2028</v>
      </c>
      <c r="AC95" s="266" t="s">
        <v>541</v>
      </c>
      <c r="AF95" s="267" t="s">
        <v>439</v>
      </c>
      <c r="AG95" s="217"/>
    </row>
    <row r="96" spans="1:33" ht="15" customHeight="1" x14ac:dyDescent="0.25">
      <c r="A96" s="396"/>
      <c r="B96" s="1" t="s">
        <v>637</v>
      </c>
      <c r="C96" s="233" t="s">
        <v>9</v>
      </c>
      <c r="E96" s="231" t="s">
        <v>9</v>
      </c>
      <c r="F96" s="586">
        <v>7850</v>
      </c>
      <c r="G96" s="243">
        <v>1</v>
      </c>
      <c r="H96" s="335">
        <v>914</v>
      </c>
      <c r="I96" s="235"/>
      <c r="J96" s="235"/>
      <c r="K96" s="325">
        <v>55.06</v>
      </c>
      <c r="L96" s="331">
        <v>12.2</v>
      </c>
      <c r="M96" s="251"/>
      <c r="N96" s="758"/>
      <c r="O96" s="235"/>
      <c r="P96" s="415">
        <f t="shared" si="22"/>
        <v>1051.72</v>
      </c>
      <c r="Q96" s="235"/>
      <c r="R96" s="235"/>
      <c r="S96" s="235"/>
      <c r="T96" s="268">
        <f>42.8+26.3+1.36+0</f>
        <v>70.459999999999994</v>
      </c>
      <c r="U96" s="235"/>
      <c r="V96" s="235"/>
      <c r="W96" s="235"/>
      <c r="X96" s="237">
        <f>IF((Z96-Y96)&lt;0,(Z96-Y96)*-ModulCD!$B$44*1000,(Z96-Y96)*ModulCD!$O$5*1000)</f>
        <v>58.307747877912192</v>
      </c>
      <c r="Y96" s="238">
        <v>1</v>
      </c>
      <c r="Z96" s="239">
        <f>ModulCD!$F$5</f>
        <v>0.89398591294925056</v>
      </c>
      <c r="AA96" s="254">
        <v>2023</v>
      </c>
      <c r="AB96" s="255">
        <v>2028</v>
      </c>
      <c r="AC96" s="266"/>
      <c r="AF96" s="218"/>
      <c r="AG96" s="217"/>
    </row>
    <row r="97" spans="1:33" ht="15" customHeight="1" x14ac:dyDescent="0.25">
      <c r="A97" s="396"/>
      <c r="B97" s="1" t="s">
        <v>434</v>
      </c>
      <c r="C97" s="233" t="s">
        <v>9</v>
      </c>
      <c r="E97" s="231" t="s">
        <v>9</v>
      </c>
      <c r="F97" s="586">
        <v>7850</v>
      </c>
      <c r="G97" s="243">
        <v>1</v>
      </c>
      <c r="H97" s="427">
        <f>AVERAGE(H95,H96)</f>
        <v>1672</v>
      </c>
      <c r="I97" s="393"/>
      <c r="J97" s="393"/>
      <c r="K97" s="427">
        <f>AVERAGE(K95,K96)</f>
        <v>47.58</v>
      </c>
      <c r="L97" s="427">
        <f>AVERAGE(L95,L96)</f>
        <v>12.2</v>
      </c>
      <c r="M97" s="201"/>
      <c r="N97" s="758"/>
      <c r="O97" s="180"/>
      <c r="P97" s="415">
        <f>H97+K97+L97+T97+IF($X$1="included",X97,0)</f>
        <v>1769.73</v>
      </c>
      <c r="Q97" s="180"/>
      <c r="R97" s="180"/>
      <c r="S97" s="180"/>
      <c r="T97" s="214">
        <f>AVERAGE(T95,T96)</f>
        <v>37.949999999999996</v>
      </c>
      <c r="U97" s="235"/>
      <c r="V97" s="235"/>
      <c r="W97" s="235"/>
      <c r="X97" s="857">
        <f>AVERAGE(X95,X96)</f>
        <v>-147.94225212208784</v>
      </c>
      <c r="Y97" s="856">
        <f>AVERAGE(Y95,Y96)</f>
        <v>0.625</v>
      </c>
      <c r="Z97" s="855">
        <f>AVERAGE(Z95,Z96)</f>
        <v>0.89398591294925056</v>
      </c>
      <c r="AA97" s="272"/>
      <c r="AB97" s="273"/>
      <c r="AC97" s="127"/>
      <c r="AF97" s="274"/>
      <c r="AG97" s="217"/>
    </row>
    <row r="98" spans="1:33" ht="15" customHeight="1" x14ac:dyDescent="0.25">
      <c r="A98" s="396"/>
      <c r="B98" s="1" t="s">
        <v>415</v>
      </c>
      <c r="C98" s="233" t="s">
        <v>9</v>
      </c>
      <c r="E98" s="231" t="s">
        <v>9</v>
      </c>
      <c r="F98" s="586">
        <v>7850</v>
      </c>
      <c r="G98" s="243">
        <v>1</v>
      </c>
      <c r="H98" s="335">
        <v>789</v>
      </c>
      <c r="I98" s="235"/>
      <c r="J98" s="235"/>
      <c r="K98" s="325">
        <v>55.06</v>
      </c>
      <c r="L98" s="331">
        <v>12.2</v>
      </c>
      <c r="M98" s="251"/>
      <c r="N98" s="758"/>
      <c r="O98" s="235"/>
      <c r="P98" s="415">
        <f t="shared" si="22"/>
        <v>894.37</v>
      </c>
      <c r="Q98" s="235"/>
      <c r="R98" s="235"/>
      <c r="S98" s="235"/>
      <c r="T98" s="268">
        <f>20.8+3.01+14.3</f>
        <v>38.11</v>
      </c>
      <c r="U98" s="235"/>
      <c r="V98" s="235"/>
      <c r="W98" s="235"/>
      <c r="X98" s="237">
        <f>IF((Z98-Y98)&lt;0,(Z98-Y98)*-ModulCD!$B$44*1000,(Z98-Y98)*ModulCD!$O$5*1000)</f>
        <v>-299.19225212208784</v>
      </c>
      <c r="Y98" s="238">
        <v>0.35</v>
      </c>
      <c r="Z98" s="239">
        <f>ModulCD!$F$5</f>
        <v>0.89398591294925056</v>
      </c>
      <c r="AA98" s="254">
        <v>2024</v>
      </c>
      <c r="AB98" s="255">
        <v>2029</v>
      </c>
      <c r="AC98" s="266" t="s">
        <v>541</v>
      </c>
      <c r="AE98" t="s">
        <v>563</v>
      </c>
      <c r="AF98" s="112" t="s">
        <v>562</v>
      </c>
      <c r="AG98" s="217"/>
    </row>
    <row r="99" spans="1:33" ht="15" customHeight="1" x14ac:dyDescent="0.25">
      <c r="A99" s="396"/>
      <c r="B99" s="1" t="s">
        <v>435</v>
      </c>
      <c r="C99" s="233" t="s">
        <v>9</v>
      </c>
      <c r="E99" s="231" t="s">
        <v>9</v>
      </c>
      <c r="F99" s="586">
        <v>7850</v>
      </c>
      <c r="G99" s="243">
        <v>1</v>
      </c>
      <c r="H99" s="335">
        <v>2270</v>
      </c>
      <c r="I99" s="235"/>
      <c r="J99" s="235"/>
      <c r="K99" s="325">
        <v>55.06</v>
      </c>
      <c r="L99" s="331">
        <v>12.2</v>
      </c>
      <c r="M99" s="251"/>
      <c r="N99" s="758"/>
      <c r="O99" s="235"/>
      <c r="P99" s="415">
        <f t="shared" si="22"/>
        <v>2339.1</v>
      </c>
      <c r="Q99" s="235"/>
      <c r="R99" s="235"/>
      <c r="S99" s="235"/>
      <c r="T99" s="269">
        <v>1.84</v>
      </c>
      <c r="U99" s="235"/>
      <c r="V99" s="235"/>
      <c r="W99" s="235"/>
      <c r="X99" s="237">
        <f>IF((Z99-Y99)&lt;0,(Z99-Y99)*-ModulCD!$B$44*1000,(Z99-Y99)*ModulCD!$O$5*1000)</f>
        <v>-293.69225212208784</v>
      </c>
      <c r="Y99" s="253">
        <v>0.36</v>
      </c>
      <c r="Z99" s="239">
        <f>ModulCD!$F$5</f>
        <v>0.89398591294925056</v>
      </c>
      <c r="AA99" s="254">
        <v>2020</v>
      </c>
      <c r="AB99" s="255">
        <v>2025</v>
      </c>
      <c r="AC99" s="266" t="s">
        <v>541</v>
      </c>
      <c r="AF99" s="267" t="s">
        <v>440</v>
      </c>
      <c r="AG99" s="217"/>
    </row>
    <row r="100" spans="1:33" ht="15" customHeight="1" x14ac:dyDescent="0.25">
      <c r="A100" s="396"/>
      <c r="B100" s="1" t="s">
        <v>436</v>
      </c>
      <c r="C100" s="233" t="s">
        <v>9</v>
      </c>
      <c r="E100" s="231" t="s">
        <v>9</v>
      </c>
      <c r="F100" s="586">
        <v>7850</v>
      </c>
      <c r="G100" s="243">
        <v>1</v>
      </c>
      <c r="H100" s="335">
        <v>2550</v>
      </c>
      <c r="I100" s="235"/>
      <c r="J100" s="235"/>
      <c r="K100" s="325">
        <v>55.06</v>
      </c>
      <c r="L100" s="331">
        <v>12.2</v>
      </c>
      <c r="M100" s="251"/>
      <c r="N100" s="758"/>
      <c r="O100" s="235"/>
      <c r="P100" s="415">
        <f t="shared" si="22"/>
        <v>2624.0299999999997</v>
      </c>
      <c r="Q100" s="235"/>
      <c r="R100" s="235"/>
      <c r="S100" s="235"/>
      <c r="T100" s="269">
        <v>6.77</v>
      </c>
      <c r="U100" s="235"/>
      <c r="V100" s="235"/>
      <c r="W100" s="235"/>
      <c r="X100" s="237">
        <f>IF((Z100-Y100)&lt;0,(Z100-Y100)*-ModulCD!$B$44*1000,(Z100-Y100)*ModulCD!$O$5*1000)</f>
        <v>-491.69225212208784</v>
      </c>
      <c r="Y100" s="238">
        <v>0</v>
      </c>
      <c r="Z100" s="239">
        <f>ModulCD!$F$5</f>
        <v>0.89398591294925056</v>
      </c>
      <c r="AA100" s="254">
        <v>2022</v>
      </c>
      <c r="AB100" s="255">
        <v>2027</v>
      </c>
      <c r="AC100" s="266" t="s">
        <v>541</v>
      </c>
      <c r="AF100" s="218" t="s">
        <v>441</v>
      </c>
      <c r="AG100" s="217"/>
    </row>
    <row r="101" spans="1:33" ht="15" customHeight="1" x14ac:dyDescent="0.25">
      <c r="A101" s="396"/>
      <c r="B101" s="1" t="s">
        <v>437</v>
      </c>
      <c r="C101" s="233" t="s">
        <v>9</v>
      </c>
      <c r="E101" s="231" t="s">
        <v>9</v>
      </c>
      <c r="F101" s="586">
        <v>7850</v>
      </c>
      <c r="G101" s="243">
        <v>1</v>
      </c>
      <c r="H101" s="393">
        <f>AVERAGE(H99,H100)</f>
        <v>2410</v>
      </c>
      <c r="I101" s="393"/>
      <c r="J101" s="393"/>
      <c r="K101" s="394">
        <f t="shared" ref="K101:L101" si="25">AVERAGE(K99,K100)</f>
        <v>55.06</v>
      </c>
      <c r="L101" s="388">
        <f t="shared" si="25"/>
        <v>12.2</v>
      </c>
      <c r="M101" s="201"/>
      <c r="N101" s="758"/>
      <c r="O101" s="180"/>
      <c r="P101" s="415">
        <f t="shared" si="22"/>
        <v>2481.5649999999996</v>
      </c>
      <c r="Q101" s="180"/>
      <c r="R101" s="180"/>
      <c r="S101" s="180"/>
      <c r="T101" s="185">
        <f t="shared" ref="T101" si="26">AVERAGE(T99,T100)</f>
        <v>4.3049999999999997</v>
      </c>
      <c r="U101" s="235"/>
      <c r="V101" s="235"/>
      <c r="W101" s="235"/>
      <c r="X101" s="237">
        <f>IF((Z101-Y101)&lt;0,(Z101-Y101)*-ModulCD!$B$44*1000,(Z101-Y101)*ModulCD!$O$5*1000)</f>
        <v>-392.69225212208778</v>
      </c>
      <c r="Y101" s="270">
        <f>AVERAGE(Y99:Y100)</f>
        <v>0.18</v>
      </c>
      <c r="Z101" s="239">
        <f>ModulCD!$F$5</f>
        <v>0.89398591294925056</v>
      </c>
      <c r="AA101" s="272"/>
      <c r="AB101" s="273"/>
      <c r="AC101" s="127"/>
      <c r="AF101" s="274"/>
      <c r="AG101" s="217"/>
    </row>
    <row r="102" spans="1:33" ht="15.75" thickBot="1" x14ac:dyDescent="0.3">
      <c r="A102" s="347"/>
      <c r="B102" s="348" t="s">
        <v>241</v>
      </c>
      <c r="C102" s="349"/>
      <c r="D102" s="350"/>
      <c r="E102" s="351" t="s">
        <v>9</v>
      </c>
      <c r="F102" s="352">
        <f>D102</f>
        <v>0</v>
      </c>
      <c r="G102" s="353">
        <f>F102</f>
        <v>0</v>
      </c>
      <c r="H102" s="354"/>
      <c r="I102" s="354"/>
      <c r="J102" s="354"/>
      <c r="K102" s="354"/>
      <c r="L102" s="354"/>
      <c r="M102" s="355"/>
      <c r="N102" s="354"/>
      <c r="O102" s="356"/>
      <c r="P102" s="356"/>
      <c r="Q102" s="356"/>
      <c r="R102" s="356"/>
      <c r="S102" s="356"/>
      <c r="T102" s="357"/>
      <c r="U102" s="356"/>
      <c r="V102" s="356"/>
      <c r="W102" s="356"/>
      <c r="X102" s="357"/>
      <c r="Y102" s="358"/>
      <c r="Z102" s="359"/>
      <c r="AA102" s="360"/>
      <c r="AB102" s="361"/>
      <c r="AC102" s="361"/>
      <c r="AD102" s="362"/>
      <c r="AE102" s="362"/>
      <c r="AF102" s="363"/>
      <c r="AG102" s="124"/>
    </row>
    <row r="103" spans="1:33" ht="15.75" collapsed="1" thickBot="1" x14ac:dyDescent="0.3">
      <c r="B103" s="1"/>
      <c r="C103" s="122"/>
      <c r="D103" s="308"/>
      <c r="E103" s="308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AC103" s="741"/>
      <c r="AE103" s="664"/>
      <c r="AF103" s="664"/>
    </row>
    <row r="104" spans="1:33" x14ac:dyDescent="0.25">
      <c r="A104" s="405" t="s">
        <v>551</v>
      </c>
      <c r="B104" s="406"/>
      <c r="C104" s="311"/>
      <c r="D104" s="788"/>
      <c r="E104" s="312"/>
      <c r="F104" s="123"/>
      <c r="G104" s="429"/>
      <c r="H104" s="789"/>
      <c r="I104" s="374"/>
      <c r="J104" s="374"/>
      <c r="K104" s="374"/>
      <c r="L104" s="374"/>
      <c r="M104" s="372"/>
      <c r="N104" s="789"/>
      <c r="O104" s="374"/>
      <c r="P104" s="373"/>
      <c r="Q104" s="374"/>
      <c r="R104" s="374"/>
      <c r="S104" s="374"/>
      <c r="T104" s="372"/>
      <c r="U104" s="374"/>
      <c r="V104" s="374"/>
      <c r="W104" s="374"/>
      <c r="X104" s="372"/>
      <c r="Y104" s="319"/>
      <c r="Z104" s="790"/>
      <c r="AA104" s="428"/>
      <c r="AB104" s="429"/>
      <c r="AC104" s="127"/>
      <c r="AD104" s="123"/>
      <c r="AF104" s="274"/>
      <c r="AG104" s="123"/>
    </row>
    <row r="105" spans="1:33" x14ac:dyDescent="0.25">
      <c r="A105" s="329"/>
      <c r="B105" s="1" t="s">
        <v>512</v>
      </c>
      <c r="C105" s="233" t="s">
        <v>468</v>
      </c>
      <c r="D105" s="437">
        <v>100</v>
      </c>
      <c r="E105" s="231" t="s">
        <v>468</v>
      </c>
      <c r="F105" s="734"/>
      <c r="G105" s="243">
        <v>1</v>
      </c>
      <c r="H105" s="443">
        <f>3.2+1.07+0.75</f>
        <v>5.0200000000000005</v>
      </c>
      <c r="I105" s="235"/>
      <c r="J105" s="235"/>
      <c r="K105" s="402"/>
      <c r="L105" s="250"/>
      <c r="M105" s="251"/>
      <c r="N105" s="430">
        <f t="shared" ref="N105" si="27">P105</f>
        <v>5.2120258333333336</v>
      </c>
      <c r="O105" s="235"/>
      <c r="P105" s="415">
        <f>H105+K105+L105+T105+IF($X$1="included",X105,0)</f>
        <v>5.2120258333333336</v>
      </c>
      <c r="Q105" s="235"/>
      <c r="R105" s="235"/>
      <c r="S105" s="235"/>
      <c r="T105" s="236">
        <f>T119/F119</f>
        <v>0.19202583333333331</v>
      </c>
      <c r="U105" s="235"/>
      <c r="V105" s="235"/>
      <c r="W105" s="235"/>
      <c r="X105" s="237">
        <f>X119/F119</f>
        <v>-4.1973027777777779E-3</v>
      </c>
      <c r="Y105" s="253">
        <v>0</v>
      </c>
      <c r="Z105" s="239">
        <v>0</v>
      </c>
      <c r="AA105" s="114"/>
      <c r="AB105" s="114"/>
      <c r="AC105" s="791" t="s">
        <v>560</v>
      </c>
      <c r="AD105" s="11"/>
      <c r="AE105" s="11"/>
      <c r="AF105" s="445" t="s">
        <v>96</v>
      </c>
    </row>
    <row r="106" spans="1:33" x14ac:dyDescent="0.25">
      <c r="A106" s="446"/>
      <c r="B106" s="447" t="s">
        <v>242</v>
      </c>
      <c r="C106" s="448"/>
      <c r="D106" s="449"/>
      <c r="E106" s="450" t="s">
        <v>468</v>
      </c>
      <c r="F106" s="451">
        <f>D106</f>
        <v>0</v>
      </c>
      <c r="G106" s="452">
        <f>F106</f>
        <v>0</v>
      </c>
      <c r="H106" s="453"/>
      <c r="I106" s="453"/>
      <c r="J106" s="453"/>
      <c r="K106" s="453"/>
      <c r="L106" s="453"/>
      <c r="M106" s="454"/>
      <c r="N106" s="453"/>
      <c r="O106" s="455"/>
      <c r="P106" s="455"/>
      <c r="Q106" s="455"/>
      <c r="R106" s="455"/>
      <c r="S106" s="455"/>
      <c r="T106" s="456"/>
      <c r="U106" s="455"/>
      <c r="V106" s="455"/>
      <c r="W106" s="455"/>
      <c r="X106" s="456"/>
      <c r="Y106" s="457"/>
      <c r="Z106" s="458"/>
      <c r="AA106" s="459"/>
      <c r="AB106" s="460"/>
      <c r="AC106" s="460"/>
      <c r="AD106" s="461"/>
      <c r="AE106" s="461"/>
      <c r="AF106" s="462"/>
      <c r="AG106" s="463"/>
    </row>
    <row r="107" spans="1:33" x14ac:dyDescent="0.25">
      <c r="A107" s="434" t="s">
        <v>552</v>
      </c>
      <c r="B107" s="1"/>
      <c r="C107" s="233"/>
      <c r="E107" s="231"/>
      <c r="G107" s="243"/>
      <c r="H107" s="250"/>
      <c r="I107" s="235"/>
      <c r="J107" s="235"/>
      <c r="K107" s="250"/>
      <c r="L107" s="250"/>
      <c r="M107" s="251"/>
      <c r="N107" s="250"/>
      <c r="O107" s="235"/>
      <c r="P107" s="250"/>
      <c r="Q107" s="235"/>
      <c r="R107" s="235"/>
      <c r="S107" s="235"/>
      <c r="T107" s="251"/>
      <c r="U107" s="235"/>
      <c r="V107" s="235"/>
      <c r="W107" s="235"/>
      <c r="X107" s="251"/>
      <c r="Y107" s="114"/>
      <c r="Z107" s="127"/>
      <c r="AA107" s="114"/>
      <c r="AB107" s="127"/>
      <c r="AC107" s="127"/>
      <c r="AF107" s="274"/>
    </row>
    <row r="108" spans="1:33" hidden="1" outlineLevel="1" x14ac:dyDescent="0.25">
      <c r="A108" s="850" t="s">
        <v>93</v>
      </c>
      <c r="B108" s="1" t="s">
        <v>94</v>
      </c>
      <c r="C108" s="233" t="s">
        <v>468</v>
      </c>
      <c r="E108" s="231" t="s">
        <v>468</v>
      </c>
      <c r="G108" s="243"/>
      <c r="H108" s="414">
        <v>0.9</v>
      </c>
      <c r="I108" s="235"/>
      <c r="J108" s="235"/>
      <c r="K108" s="328"/>
      <c r="L108" s="328"/>
      <c r="M108" s="251"/>
      <c r="N108" s="430">
        <v>0.9</v>
      </c>
      <c r="O108" s="235"/>
      <c r="P108" s="250"/>
      <c r="Q108" s="235"/>
      <c r="R108" s="235"/>
      <c r="S108" s="235"/>
      <c r="T108" s="251"/>
      <c r="U108" s="235"/>
      <c r="V108" s="235"/>
      <c r="W108" s="235"/>
      <c r="X108" s="251"/>
      <c r="Y108" s="253">
        <v>0</v>
      </c>
      <c r="Z108" s="239">
        <v>0</v>
      </c>
      <c r="AA108" s="254">
        <v>2017</v>
      </c>
      <c r="AB108" s="255"/>
      <c r="AC108" s="266"/>
      <c r="AE108" t="s">
        <v>95</v>
      </c>
      <c r="AF108" s="274" t="s">
        <v>96</v>
      </c>
    </row>
    <row r="109" spans="1:33" hidden="1" outlineLevel="1" x14ac:dyDescent="0.25">
      <c r="A109" s="851" t="s">
        <v>724</v>
      </c>
      <c r="B109" s="1" t="s">
        <v>97</v>
      </c>
      <c r="C109" s="233" t="s">
        <v>468</v>
      </c>
      <c r="E109" s="231" t="s">
        <v>468</v>
      </c>
      <c r="G109" s="243"/>
      <c r="H109" s="414">
        <v>2.6</v>
      </c>
      <c r="I109" s="235"/>
      <c r="J109" s="235"/>
      <c r="K109" s="328"/>
      <c r="L109" s="328"/>
      <c r="M109" s="251"/>
      <c r="N109" s="430">
        <v>2.6</v>
      </c>
      <c r="O109" s="235"/>
      <c r="P109" s="250"/>
      <c r="Q109" s="235"/>
      <c r="R109" s="235"/>
      <c r="S109" s="235"/>
      <c r="T109" s="251"/>
      <c r="U109" s="235"/>
      <c r="V109" s="235"/>
      <c r="W109" s="235"/>
      <c r="X109" s="251"/>
      <c r="Y109" s="253">
        <v>0</v>
      </c>
      <c r="Z109" s="239">
        <v>0</v>
      </c>
      <c r="AA109" s="254">
        <v>2017</v>
      </c>
      <c r="AB109" s="255"/>
      <c r="AC109" s="266" t="s">
        <v>666</v>
      </c>
      <c r="AE109" t="s">
        <v>95</v>
      </c>
      <c r="AF109" s="274" t="s">
        <v>96</v>
      </c>
    </row>
    <row r="110" spans="1:33" hidden="1" outlineLevel="1" x14ac:dyDescent="0.25">
      <c r="A110" s="851"/>
      <c r="B110" s="1" t="s">
        <v>98</v>
      </c>
      <c r="C110" s="233" t="s">
        <v>468</v>
      </c>
      <c r="E110" s="231" t="s">
        <v>468</v>
      </c>
      <c r="G110" s="243"/>
      <c r="H110" s="414">
        <v>3.2</v>
      </c>
      <c r="I110" s="235"/>
      <c r="J110" s="235"/>
      <c r="K110" s="328"/>
      <c r="L110" s="328"/>
      <c r="M110" s="251"/>
      <c r="N110" s="430">
        <v>3.2</v>
      </c>
      <c r="O110" s="235"/>
      <c r="P110" s="415">
        <f>H110+K110+L110+T110+IF($X$1="included",X110,0)</f>
        <v>3.2</v>
      </c>
      <c r="Q110" s="235"/>
      <c r="R110" s="235"/>
      <c r="S110" s="235"/>
      <c r="T110" s="251"/>
      <c r="U110" s="235"/>
      <c r="V110" s="235"/>
      <c r="W110" s="235"/>
      <c r="X110" s="251"/>
      <c r="Y110" s="253">
        <v>0</v>
      </c>
      <c r="Z110" s="239">
        <v>0</v>
      </c>
      <c r="AA110" s="254">
        <v>2017</v>
      </c>
      <c r="AB110" s="255"/>
      <c r="AC110" s="266"/>
      <c r="AE110" t="s">
        <v>95</v>
      </c>
      <c r="AF110" s="274" t="s">
        <v>96</v>
      </c>
    </row>
    <row r="111" spans="1:33" hidden="1" outlineLevel="1" x14ac:dyDescent="0.25">
      <c r="A111" s="432"/>
      <c r="B111" s="1" t="s">
        <v>561</v>
      </c>
      <c r="C111" s="233" t="s">
        <v>468</v>
      </c>
      <c r="D111" s="437">
        <v>100</v>
      </c>
      <c r="E111" s="231" t="s">
        <v>468</v>
      </c>
      <c r="F111" s="117"/>
      <c r="G111" s="106"/>
      <c r="H111" s="926">
        <f>1.07+0.75</f>
        <v>1.82</v>
      </c>
      <c r="I111" s="927"/>
      <c r="J111" s="927"/>
      <c r="K111" s="328"/>
      <c r="L111" s="328"/>
      <c r="M111" s="251"/>
      <c r="N111" s="430">
        <f>P111</f>
        <v>2.0120258333333334</v>
      </c>
      <c r="O111" s="235"/>
      <c r="P111" s="415">
        <f>H111+K111+L111+T111+IF($X$1="included",X111,0)</f>
        <v>2.0120258333333334</v>
      </c>
      <c r="Q111" s="235"/>
      <c r="R111" s="235"/>
      <c r="S111" s="235"/>
      <c r="T111" s="236">
        <f>T119/F119</f>
        <v>0.19202583333333331</v>
      </c>
      <c r="U111" s="235"/>
      <c r="V111" s="235"/>
      <c r="W111" s="235"/>
      <c r="X111" s="237">
        <f>X119/F119</f>
        <v>-4.1973027777777779E-3</v>
      </c>
      <c r="Y111" s="253">
        <v>0</v>
      </c>
      <c r="Z111" s="239">
        <v>0</v>
      </c>
      <c r="AA111" s="114"/>
      <c r="AB111" s="127"/>
      <c r="AC111" s="266" t="s">
        <v>99</v>
      </c>
      <c r="AF111" s="274"/>
    </row>
    <row r="112" spans="1:33" hidden="1" outlineLevel="1" x14ac:dyDescent="0.25">
      <c r="A112" s="435"/>
      <c r="B112" s="1"/>
      <c r="C112" s="233"/>
      <c r="D112" s="308"/>
      <c r="E112" s="231" t="s">
        <v>468</v>
      </c>
      <c r="F112" s="117"/>
      <c r="G112" s="106"/>
      <c r="H112" s="250">
        <f>H122-1/2*(H113+H114)</f>
        <v>1.9154999999999998</v>
      </c>
      <c r="I112" s="235"/>
      <c r="J112" s="235"/>
      <c r="K112" s="250"/>
      <c r="L112" s="250"/>
      <c r="M112" s="251"/>
      <c r="N112" s="430"/>
      <c r="O112" s="235"/>
      <c r="P112" s="250"/>
      <c r="Q112" s="235"/>
      <c r="R112" s="235"/>
      <c r="S112" s="235"/>
      <c r="T112" s="251"/>
      <c r="U112" s="235"/>
      <c r="V112" s="235"/>
      <c r="W112" s="235"/>
      <c r="X112" s="251"/>
      <c r="Y112" s="114"/>
      <c r="Z112" s="127"/>
      <c r="AA112" s="114"/>
      <c r="AB112" s="127"/>
      <c r="AC112" s="127"/>
      <c r="AF112" s="274"/>
    </row>
    <row r="113" spans="1:33" hidden="1" outlineLevel="1" x14ac:dyDescent="0.25">
      <c r="A113" s="435" t="s">
        <v>100</v>
      </c>
      <c r="B113" s="1" t="s">
        <v>101</v>
      </c>
      <c r="C113" s="233" t="s">
        <v>468</v>
      </c>
      <c r="D113" s="437">
        <v>60</v>
      </c>
      <c r="E113" s="231" t="s">
        <v>468</v>
      </c>
      <c r="F113" s="438">
        <v>12</v>
      </c>
      <c r="G113" s="243"/>
      <c r="H113" s="922">
        <f>H118/F118*D113/D118</f>
        <v>0.37333333333333335</v>
      </c>
      <c r="I113" s="922"/>
      <c r="J113" s="922"/>
      <c r="K113" s="328"/>
      <c r="L113" s="328">
        <v>0</v>
      </c>
      <c r="M113" s="251"/>
      <c r="N113" s="430">
        <f>0.637182520833333-IF($X$1="included",0,X113)</f>
        <v>0.64137982361111079</v>
      </c>
      <c r="O113" s="235"/>
      <c r="P113" s="250"/>
      <c r="Q113" s="235"/>
      <c r="R113" s="235"/>
      <c r="S113" s="235"/>
      <c r="T113" s="236">
        <f>T118/F118</f>
        <v>0.19202583333333331</v>
      </c>
      <c r="U113" s="235"/>
      <c r="V113" s="235"/>
      <c r="W113" s="235"/>
      <c r="X113" s="237">
        <f>X118/F118</f>
        <v>-4.1973027777777779E-3</v>
      </c>
      <c r="Y113" s="253">
        <v>0</v>
      </c>
      <c r="Z113" s="239">
        <v>0</v>
      </c>
      <c r="AA113" s="114"/>
      <c r="AB113" s="127"/>
      <c r="AC113" s="266" t="s">
        <v>472</v>
      </c>
      <c r="AF113" s="274"/>
    </row>
    <row r="114" spans="1:33" hidden="1" outlineLevel="1" x14ac:dyDescent="0.25">
      <c r="A114" s="434"/>
      <c r="B114" s="1" t="s">
        <v>102</v>
      </c>
      <c r="C114" s="233" t="s">
        <v>468</v>
      </c>
      <c r="D114" s="437">
        <v>60</v>
      </c>
      <c r="E114" s="231" t="s">
        <v>468</v>
      </c>
      <c r="F114" s="438">
        <v>12</v>
      </c>
      <c r="G114" s="243"/>
      <c r="H114" s="922">
        <f>H119/F119*D114/D119</f>
        <v>0.53166666666666662</v>
      </c>
      <c r="I114" s="922"/>
      <c r="J114" s="922"/>
      <c r="K114" s="328"/>
      <c r="L114" s="328">
        <v>0</v>
      </c>
      <c r="M114" s="251"/>
      <c r="N114" s="430">
        <f>0.787182520833333-IF($X$1="included",0,X114)</f>
        <v>0.7913798236111107</v>
      </c>
      <c r="O114" s="235"/>
      <c r="P114" s="250"/>
      <c r="Q114" s="235"/>
      <c r="R114" s="235"/>
      <c r="S114" s="235"/>
      <c r="T114" s="236">
        <f>T119/F119</f>
        <v>0.19202583333333331</v>
      </c>
      <c r="U114" s="235"/>
      <c r="V114" s="235"/>
      <c r="W114" s="235"/>
      <c r="X114" s="237">
        <f>X119/F119</f>
        <v>-4.1973027777777779E-3</v>
      </c>
      <c r="Y114" s="253">
        <v>0</v>
      </c>
      <c r="Z114" s="239">
        <v>0</v>
      </c>
      <c r="AA114" s="114"/>
      <c r="AB114" s="127"/>
      <c r="AC114" s="266" t="s">
        <v>472</v>
      </c>
      <c r="AF114" s="274"/>
    </row>
    <row r="115" spans="1:33" hidden="1" outlineLevel="1" x14ac:dyDescent="0.25">
      <c r="A115" s="434"/>
      <c r="B115" s="418" t="s">
        <v>92</v>
      </c>
      <c r="C115" s="233"/>
      <c r="D115" s="437"/>
      <c r="E115" s="231"/>
      <c r="G115" s="243"/>
      <c r="H115" s="250"/>
      <c r="I115" s="235"/>
      <c r="J115" s="235"/>
      <c r="K115" s="250"/>
      <c r="L115" s="250"/>
      <c r="M115" s="251"/>
      <c r="N115" s="250"/>
      <c r="O115" s="235"/>
      <c r="P115" s="250"/>
      <c r="Q115" s="235"/>
      <c r="R115" s="235"/>
      <c r="S115" s="235"/>
      <c r="T115" s="251"/>
      <c r="U115" s="235"/>
      <c r="V115" s="235"/>
      <c r="W115" s="235"/>
      <c r="X115" s="251"/>
      <c r="Y115" s="114"/>
      <c r="Z115" s="127"/>
      <c r="AA115" s="114"/>
      <c r="AB115" s="127"/>
      <c r="AC115" s="127"/>
      <c r="AF115" s="274"/>
    </row>
    <row r="116" spans="1:33" s="13" customFormat="1" hidden="1" outlineLevel="1" x14ac:dyDescent="0.25">
      <c r="A116" s="434"/>
      <c r="B116" s="16" t="s">
        <v>103</v>
      </c>
      <c r="C116" s="164" t="s">
        <v>468</v>
      </c>
      <c r="D116" s="437"/>
      <c r="E116" s="231" t="s">
        <v>468</v>
      </c>
      <c r="G116" s="89"/>
      <c r="H116" s="439">
        <v>0.92</v>
      </c>
      <c r="I116" s="187"/>
      <c r="J116" s="187"/>
      <c r="K116" s="250"/>
      <c r="L116" s="250"/>
      <c r="M116" s="203"/>
      <c r="N116" s="183"/>
      <c r="O116" s="187"/>
      <c r="P116" s="183"/>
      <c r="Q116" s="187"/>
      <c r="R116" s="187"/>
      <c r="S116" s="187"/>
      <c r="T116" s="184">
        <v>0.1</v>
      </c>
      <c r="U116" s="235"/>
      <c r="V116" s="235"/>
      <c r="W116" s="235"/>
      <c r="X116" s="247">
        <f>X118/F118</f>
        <v>-4.1973027777777779E-3</v>
      </c>
      <c r="Y116" s="238">
        <v>0</v>
      </c>
      <c r="Z116" s="248">
        <v>0</v>
      </c>
      <c r="AA116" s="43"/>
      <c r="AB116" s="64"/>
      <c r="AC116" s="266"/>
      <c r="AF116" s="17" t="s">
        <v>88</v>
      </c>
    </row>
    <row r="117" spans="1:33" s="13" customFormat="1" hidden="1" outlineLevel="1" x14ac:dyDescent="0.25">
      <c r="A117" s="440"/>
      <c r="B117" s="16" t="s">
        <v>104</v>
      </c>
      <c r="C117" s="164" t="s">
        <v>468</v>
      </c>
      <c r="D117" s="437"/>
      <c r="E117" s="231" t="s">
        <v>468</v>
      </c>
      <c r="G117" s="89"/>
      <c r="H117" s="439">
        <v>0.64600000000000002</v>
      </c>
      <c r="I117" s="187"/>
      <c r="J117" s="187"/>
      <c r="K117" s="250"/>
      <c r="L117" s="250"/>
      <c r="M117" s="203"/>
      <c r="N117" s="183"/>
      <c r="O117" s="187"/>
      <c r="P117" s="183"/>
      <c r="Q117" s="187"/>
      <c r="R117" s="187"/>
      <c r="S117" s="187"/>
      <c r="T117" s="184">
        <v>0.1</v>
      </c>
      <c r="U117" s="235"/>
      <c r="V117" s="235"/>
      <c r="W117" s="235"/>
      <c r="X117" s="247">
        <f>X118/F118</f>
        <v>-4.1973027777777779E-3</v>
      </c>
      <c r="Y117" s="238">
        <v>0</v>
      </c>
      <c r="Z117" s="248">
        <v>0</v>
      </c>
      <c r="AA117" s="43"/>
      <c r="AB117" s="64"/>
      <c r="AC117" s="84"/>
      <c r="AF117" s="17" t="s">
        <v>88</v>
      </c>
    </row>
    <row r="118" spans="1:33" hidden="1" outlineLevel="1" x14ac:dyDescent="0.25">
      <c r="A118" s="329"/>
      <c r="B118" s="1" t="s">
        <v>105</v>
      </c>
      <c r="C118" s="233" t="s">
        <v>106</v>
      </c>
      <c r="D118" s="437">
        <v>60</v>
      </c>
      <c r="E118" s="231" t="s">
        <v>468</v>
      </c>
      <c r="F118" s="438">
        <v>12</v>
      </c>
      <c r="G118" s="243"/>
      <c r="H118" s="414">
        <v>4.4800000000000004</v>
      </c>
      <c r="I118" s="235"/>
      <c r="J118" s="235"/>
      <c r="K118" s="250"/>
      <c r="L118" s="250"/>
      <c r="M118" s="251"/>
      <c r="N118" s="250"/>
      <c r="O118" s="235"/>
      <c r="P118" s="250"/>
      <c r="Q118" s="235"/>
      <c r="R118" s="235"/>
      <c r="S118" s="235"/>
      <c r="T118" s="268">
        <v>2.3043099999999996</v>
      </c>
      <c r="U118" s="235"/>
      <c r="V118" s="235"/>
      <c r="W118" s="235"/>
      <c r="X118" s="247">
        <f>ModulCD!$O$6</f>
        <v>-5.0367633333333335E-2</v>
      </c>
      <c r="Y118" s="238">
        <v>0</v>
      </c>
      <c r="Z118" s="248">
        <v>0</v>
      </c>
      <c r="AA118" s="254">
        <v>2023</v>
      </c>
      <c r="AB118" s="255">
        <v>2028</v>
      </c>
      <c r="AC118" s="266"/>
      <c r="AF118" s="274" t="s">
        <v>659</v>
      </c>
      <c r="AG118" s="217"/>
    </row>
    <row r="119" spans="1:33" hidden="1" outlineLevel="1" x14ac:dyDescent="0.25">
      <c r="A119" s="329"/>
      <c r="B119" s="1" t="s">
        <v>107</v>
      </c>
      <c r="C119" s="233" t="s">
        <v>106</v>
      </c>
      <c r="D119" s="437">
        <v>60</v>
      </c>
      <c r="E119" s="231" t="s">
        <v>468</v>
      </c>
      <c r="F119" s="438">
        <v>12</v>
      </c>
      <c r="G119" s="243"/>
      <c r="H119" s="414">
        <v>6.38</v>
      </c>
      <c r="I119" s="235"/>
      <c r="J119" s="235"/>
      <c r="K119" s="250"/>
      <c r="L119" s="250"/>
      <c r="M119" s="251"/>
      <c r="N119" s="250"/>
      <c r="O119" s="235"/>
      <c r="P119" s="250"/>
      <c r="Q119" s="235"/>
      <c r="R119" s="235"/>
      <c r="S119" s="235"/>
      <c r="T119" s="268">
        <v>2.3043099999999996</v>
      </c>
      <c r="U119" s="235"/>
      <c r="V119" s="235"/>
      <c r="W119" s="235"/>
      <c r="X119" s="247">
        <f>ModulCD!$O$6</f>
        <v>-5.0367633333333335E-2</v>
      </c>
      <c r="Y119" s="238">
        <v>0</v>
      </c>
      <c r="Z119" s="248">
        <v>0</v>
      </c>
      <c r="AA119" s="254">
        <v>2023</v>
      </c>
      <c r="AB119" s="255">
        <v>2028</v>
      </c>
      <c r="AC119" s="266"/>
      <c r="AD119" t="s">
        <v>108</v>
      </c>
      <c r="AF119" s="830" t="s">
        <v>660</v>
      </c>
      <c r="AG119" s="217"/>
    </row>
    <row r="120" spans="1:33" hidden="1" outlineLevel="1" x14ac:dyDescent="0.25">
      <c r="A120" s="329"/>
      <c r="B120" s="16" t="s">
        <v>109</v>
      </c>
      <c r="C120" s="164" t="s">
        <v>106</v>
      </c>
      <c r="D120" s="437">
        <v>60</v>
      </c>
      <c r="E120" s="231" t="s">
        <v>468</v>
      </c>
      <c r="F120" s="438">
        <v>12</v>
      </c>
      <c r="G120" s="243"/>
      <c r="H120" s="182">
        <v>4.96</v>
      </c>
      <c r="I120" s="187"/>
      <c r="J120" s="187"/>
      <c r="K120" s="250"/>
      <c r="L120" s="250"/>
      <c r="M120" s="251"/>
      <c r="N120" s="250"/>
      <c r="O120" s="235"/>
      <c r="P120" s="250"/>
      <c r="Q120" s="235"/>
      <c r="R120" s="235"/>
      <c r="S120" s="235"/>
      <c r="T120" s="268">
        <v>2.3043099999999996</v>
      </c>
      <c r="U120" s="235"/>
      <c r="V120" s="235"/>
      <c r="W120" s="235"/>
      <c r="X120" s="247">
        <f>ModulCD!$O$6</f>
        <v>-5.0367633333333335E-2</v>
      </c>
      <c r="Y120" s="238">
        <v>0</v>
      </c>
      <c r="Z120" s="248">
        <v>0</v>
      </c>
      <c r="AA120" s="254">
        <v>2023</v>
      </c>
      <c r="AB120" s="255">
        <v>2028</v>
      </c>
      <c r="AC120" s="266"/>
      <c r="AD120" t="s">
        <v>108</v>
      </c>
      <c r="AF120" s="830" t="s">
        <v>661</v>
      </c>
    </row>
    <row r="121" spans="1:33" hidden="1" outlineLevel="1" x14ac:dyDescent="0.25">
      <c r="A121" s="120"/>
      <c r="B121" s="16" t="s">
        <v>110</v>
      </c>
      <c r="C121" s="164" t="s">
        <v>106</v>
      </c>
      <c r="D121" s="437"/>
      <c r="E121" s="231" t="s">
        <v>468</v>
      </c>
      <c r="F121" s="441"/>
      <c r="G121" s="89"/>
      <c r="H121" s="182">
        <v>4.5910000000000002</v>
      </c>
      <c r="I121" s="187"/>
      <c r="J121" s="187"/>
      <c r="K121" s="250"/>
      <c r="L121" s="250"/>
      <c r="M121" s="251"/>
      <c r="N121" s="250"/>
      <c r="O121" s="235"/>
      <c r="P121" s="250"/>
      <c r="Q121" s="235"/>
      <c r="R121" s="235"/>
      <c r="S121" s="235"/>
      <c r="T121" s="268">
        <v>1.0474060000000001</v>
      </c>
      <c r="U121" s="235"/>
      <c r="V121" s="235"/>
      <c r="W121" s="235"/>
      <c r="X121" s="247">
        <f>ModulCD!$O$6</f>
        <v>-5.0367633333333335E-2</v>
      </c>
      <c r="Y121" s="238">
        <v>0</v>
      </c>
      <c r="Z121" s="248">
        <v>0</v>
      </c>
      <c r="AA121" s="254">
        <v>2023</v>
      </c>
      <c r="AB121" s="255">
        <v>2026</v>
      </c>
      <c r="AC121" s="266"/>
      <c r="AF121" s="830" t="s">
        <v>662</v>
      </c>
    </row>
    <row r="122" spans="1:33" hidden="1" outlineLevel="1" x14ac:dyDescent="0.25">
      <c r="A122" s="120"/>
      <c r="B122" s="1" t="s">
        <v>111</v>
      </c>
      <c r="C122" s="233" t="s">
        <v>468</v>
      </c>
      <c r="D122" s="437">
        <v>100</v>
      </c>
      <c r="E122" s="231" t="s">
        <v>468</v>
      </c>
      <c r="F122" s="117"/>
      <c r="G122" s="243"/>
      <c r="H122" s="414">
        <v>2.3679999999999999</v>
      </c>
      <c r="I122" s="235"/>
      <c r="J122" s="235"/>
      <c r="K122" s="250"/>
      <c r="L122" s="250"/>
      <c r="M122" s="251"/>
      <c r="N122" s="250"/>
      <c r="O122" s="235"/>
      <c r="P122" s="250"/>
      <c r="Q122" s="235"/>
      <c r="R122" s="235"/>
      <c r="S122" s="235"/>
      <c r="T122" s="268">
        <v>0.14437990000000001</v>
      </c>
      <c r="U122" s="235"/>
      <c r="V122" s="235"/>
      <c r="W122" s="235"/>
      <c r="X122" s="247">
        <f>X118/F118/D118*D122</f>
        <v>-6.9955046296296293E-3</v>
      </c>
      <c r="Y122" s="238">
        <v>0</v>
      </c>
      <c r="Z122" s="248">
        <v>0</v>
      </c>
      <c r="AA122" s="254">
        <v>2023</v>
      </c>
      <c r="AB122" s="255">
        <v>2026</v>
      </c>
      <c r="AC122" s="266"/>
      <c r="AF122" s="240" t="s">
        <v>112</v>
      </c>
      <c r="AG122" s="217"/>
    </row>
    <row r="123" spans="1:33" hidden="1" outlineLevel="1" x14ac:dyDescent="0.25">
      <c r="A123" s="120"/>
      <c r="B123" s="16" t="s">
        <v>113</v>
      </c>
      <c r="C123" s="164" t="s">
        <v>106</v>
      </c>
      <c r="D123" s="437"/>
      <c r="E123" s="231" t="s">
        <v>468</v>
      </c>
      <c r="F123" s="441"/>
      <c r="G123" s="89"/>
      <c r="H123" s="439">
        <v>3.262</v>
      </c>
      <c r="I123" s="187"/>
      <c r="J123" s="187"/>
      <c r="K123" s="250"/>
      <c r="L123" s="250"/>
      <c r="M123" s="251"/>
      <c r="N123" s="250"/>
      <c r="O123" s="235"/>
      <c r="P123" s="250"/>
      <c r="Q123" s="235"/>
      <c r="R123" s="235"/>
      <c r="S123" s="235"/>
      <c r="T123" s="268">
        <v>0.68751399999999996</v>
      </c>
      <c r="U123" s="235"/>
      <c r="V123" s="235"/>
      <c r="W123" s="235"/>
      <c r="X123" s="247">
        <f>ModulCD!$O$6</f>
        <v>-5.0367633333333335E-2</v>
      </c>
      <c r="Y123" s="238">
        <v>0</v>
      </c>
      <c r="Z123" s="248">
        <v>0</v>
      </c>
      <c r="AA123" s="254">
        <v>2023</v>
      </c>
      <c r="AB123" s="255">
        <v>2026</v>
      </c>
      <c r="AC123" s="266"/>
      <c r="AF123" s="240" t="s">
        <v>114</v>
      </c>
    </row>
    <row r="124" spans="1:33" ht="15" hidden="1" customHeight="1" outlineLevel="1" x14ac:dyDescent="0.25">
      <c r="A124" s="832"/>
      <c r="B124" s="1" t="s">
        <v>89</v>
      </c>
      <c r="C124" s="233" t="s">
        <v>468</v>
      </c>
      <c r="D124" s="122" t="s">
        <v>90</v>
      </c>
      <c r="E124" s="231"/>
      <c r="F124" s="433">
        <v>5.28</v>
      </c>
      <c r="G124" s="243">
        <v>1</v>
      </c>
      <c r="H124" s="414">
        <v>13.475</v>
      </c>
      <c r="I124" s="235"/>
      <c r="J124" s="235"/>
      <c r="K124" s="328"/>
      <c r="L124" s="328"/>
      <c r="M124" s="251"/>
      <c r="N124" s="430">
        <f t="shared" ref="N124:N125" si="28">P124</f>
        <v>13.50492</v>
      </c>
      <c r="O124" s="235"/>
      <c r="P124" s="415">
        <f t="shared" ref="P124:P125" si="29">H124+K124+L124+T124+IF($X$1="included",X124,0)</f>
        <v>13.50492</v>
      </c>
      <c r="Q124" s="235"/>
      <c r="R124" s="235"/>
      <c r="S124" s="235"/>
      <c r="T124" s="268">
        <v>2.9919999999999999E-2</v>
      </c>
      <c r="U124" s="235">
        <v>12.6</v>
      </c>
      <c r="V124" s="235">
        <v>0</v>
      </c>
      <c r="W124" s="235">
        <v>4.2400000000000007E-3</v>
      </c>
      <c r="X124" s="268">
        <v>-7.07</v>
      </c>
      <c r="Y124" s="253">
        <v>0.25</v>
      </c>
      <c r="Z124" s="275"/>
      <c r="AA124" s="254">
        <v>2022</v>
      </c>
      <c r="AB124" s="255">
        <v>2027</v>
      </c>
      <c r="AC124" s="255"/>
      <c r="AD124" t="s">
        <v>91</v>
      </c>
      <c r="AF124" s="218" t="s">
        <v>493</v>
      </c>
      <c r="AG124" s="217"/>
    </row>
    <row r="125" spans="1:33" ht="15" hidden="1" customHeight="1" outlineLevel="1" x14ac:dyDescent="0.25">
      <c r="A125" s="832"/>
      <c r="B125" s="1" t="s">
        <v>664</v>
      </c>
      <c r="C125" s="233" t="s">
        <v>665</v>
      </c>
      <c r="E125" s="231"/>
      <c r="F125" s="433">
        <v>5.72</v>
      </c>
      <c r="G125" s="243">
        <v>1</v>
      </c>
      <c r="H125" s="414">
        <v>16.59</v>
      </c>
      <c r="I125" s="235"/>
      <c r="J125" s="235"/>
      <c r="K125" s="328"/>
      <c r="L125" s="328"/>
      <c r="M125" s="251"/>
      <c r="N125" s="430">
        <f t="shared" si="28"/>
        <v>16.618454</v>
      </c>
      <c r="O125" s="235"/>
      <c r="P125" s="415">
        <f t="shared" si="29"/>
        <v>16.618454</v>
      </c>
      <c r="Q125" s="235"/>
      <c r="R125" s="235"/>
      <c r="S125" s="235"/>
      <c r="T125" s="269">
        <f>0.001884+0.02657</f>
        <v>2.8454E-2</v>
      </c>
      <c r="U125" s="235"/>
      <c r="V125" s="235">
        <v>0</v>
      </c>
      <c r="W125" s="235">
        <v>2.1600000000000001E-2</v>
      </c>
      <c r="X125" s="268">
        <v>-7.7759999999999998</v>
      </c>
      <c r="Y125" s="253">
        <v>0.25</v>
      </c>
      <c r="Z125" s="275"/>
      <c r="AA125" s="276">
        <v>2023</v>
      </c>
      <c r="AB125" s="277">
        <v>2026</v>
      </c>
      <c r="AC125" s="278"/>
      <c r="AF125" s="240" t="s">
        <v>663</v>
      </c>
      <c r="AG125" s="217"/>
    </row>
    <row r="126" spans="1:33" hidden="1" outlineLevel="1" x14ac:dyDescent="0.25">
      <c r="A126" s="832"/>
      <c r="B126" s="16"/>
      <c r="C126" s="164"/>
      <c r="D126" s="437"/>
      <c r="E126" s="231"/>
      <c r="F126" s="441"/>
      <c r="G126" s="89"/>
      <c r="H126" s="182">
        <f>H125-H124</f>
        <v>3.1150000000000002</v>
      </c>
      <c r="I126" s="187"/>
      <c r="J126" s="187"/>
      <c r="K126" s="250"/>
      <c r="L126" s="250"/>
      <c r="M126" s="251"/>
      <c r="N126" s="250"/>
      <c r="O126" s="235"/>
      <c r="P126" s="250"/>
      <c r="Q126" s="235"/>
      <c r="R126" s="235"/>
      <c r="S126" s="235"/>
      <c r="T126" s="182">
        <f>T125-T124</f>
        <v>-1.4659999999999986E-3</v>
      </c>
      <c r="U126" s="235"/>
      <c r="V126" s="235"/>
      <c r="W126" s="235"/>
      <c r="X126" s="182">
        <f>X125-X124</f>
        <v>-0.70599999999999952</v>
      </c>
      <c r="Y126" s="238"/>
      <c r="Z126" s="248"/>
      <c r="AA126" s="254"/>
      <c r="AB126" s="255"/>
      <c r="AC126" s="266"/>
      <c r="AF126" s="240"/>
    </row>
    <row r="127" spans="1:33" s="11" customFormat="1" collapsed="1" x14ac:dyDescent="0.25">
      <c r="A127" s="442" t="s">
        <v>115</v>
      </c>
      <c r="B127" s="1" t="s">
        <v>512</v>
      </c>
      <c r="C127" s="233" t="s">
        <v>468</v>
      </c>
      <c r="D127" s="437">
        <v>100</v>
      </c>
      <c r="E127" s="231" t="s">
        <v>468</v>
      </c>
      <c r="F127" s="734">
        <v>24</v>
      </c>
      <c r="G127" s="243">
        <v>1</v>
      </c>
      <c r="H127" s="443">
        <v>1.07</v>
      </c>
      <c r="I127" s="235"/>
      <c r="J127" s="235"/>
      <c r="K127" s="444">
        <f>0.014/$F$127</f>
        <v>5.8333333333333338E-4</v>
      </c>
      <c r="L127" s="328">
        <f>3.2+0.75</f>
        <v>3.95</v>
      </c>
      <c r="M127" s="251"/>
      <c r="N127" s="430">
        <f>P127</f>
        <v>5.0289166666666674</v>
      </c>
      <c r="O127" s="235"/>
      <c r="P127" s="415">
        <f>H127+K127+L127+T127+IF($X$1="included",X127,0)</f>
        <v>5.0289166666666674</v>
      </c>
      <c r="Q127" s="235"/>
      <c r="R127" s="235"/>
      <c r="S127" s="235"/>
      <c r="T127" s="236">
        <v>8.3333333333333332E-3</v>
      </c>
      <c r="U127" s="235"/>
      <c r="V127" s="235"/>
      <c r="W127" s="235"/>
      <c r="X127" s="237">
        <v>-4.1973027777777779E-3</v>
      </c>
      <c r="Y127" s="253">
        <v>0</v>
      </c>
      <c r="Z127" s="239">
        <v>0</v>
      </c>
      <c r="AA127" s="114"/>
      <c r="AB127" s="114"/>
      <c r="AC127" s="791" t="s">
        <v>559</v>
      </c>
      <c r="AF127" s="445"/>
    </row>
    <row r="128" spans="1:33" ht="15.75" thickBot="1" x14ac:dyDescent="0.3">
      <c r="A128" s="347"/>
      <c r="B128" s="348" t="s">
        <v>243</v>
      </c>
      <c r="C128" s="349"/>
      <c r="D128" s="350"/>
      <c r="E128" s="351" t="s">
        <v>468</v>
      </c>
      <c r="F128" s="352">
        <f>D128</f>
        <v>0</v>
      </c>
      <c r="G128" s="353">
        <f>F128</f>
        <v>0</v>
      </c>
      <c r="H128" s="354"/>
      <c r="I128" s="354"/>
      <c r="J128" s="354"/>
      <c r="K128" s="354"/>
      <c r="L128" s="354"/>
      <c r="M128" s="355"/>
      <c r="N128" s="354"/>
      <c r="O128" s="356"/>
      <c r="P128" s="356"/>
      <c r="Q128" s="356"/>
      <c r="R128" s="356"/>
      <c r="S128" s="356"/>
      <c r="T128" s="357"/>
      <c r="U128" s="356"/>
      <c r="V128" s="356"/>
      <c r="W128" s="356"/>
      <c r="X128" s="357"/>
      <c r="Y128" s="358"/>
      <c r="Z128" s="359"/>
      <c r="AA128" s="360"/>
      <c r="AB128" s="361"/>
      <c r="AC128" s="361"/>
      <c r="AD128" s="362"/>
      <c r="AE128" s="362"/>
      <c r="AF128" s="363"/>
      <c r="AG128" s="124"/>
    </row>
    <row r="129" spans="1:33" ht="15.75" thickBot="1" x14ac:dyDescent="0.3">
      <c r="A129" s="122"/>
      <c r="B129" s="418"/>
      <c r="C129" s="419"/>
      <c r="D129" s="419"/>
      <c r="E129" s="122"/>
      <c r="F129" s="9"/>
      <c r="H129" s="420"/>
      <c r="I129" s="420"/>
      <c r="J129" s="420"/>
      <c r="K129" s="420"/>
      <c r="L129" s="420"/>
      <c r="M129" s="420"/>
      <c r="N129" s="420"/>
      <c r="O129" s="421"/>
      <c r="P129" s="421"/>
      <c r="Q129" s="421"/>
      <c r="R129" s="421"/>
      <c r="S129" s="421"/>
      <c r="T129" s="421"/>
      <c r="U129" s="421"/>
      <c r="V129" s="421"/>
      <c r="W129" s="421"/>
      <c r="X129" s="421"/>
      <c r="Y129" s="422"/>
      <c r="Z129" s="422"/>
      <c r="AA129" s="345"/>
      <c r="AB129" s="345"/>
      <c r="AC129" s="345"/>
      <c r="AD129" s="125"/>
      <c r="AE129" s="125"/>
      <c r="AF129" s="423"/>
    </row>
    <row r="130" spans="1:33" x14ac:dyDescent="0.25">
      <c r="A130" s="405" t="s">
        <v>116</v>
      </c>
      <c r="B130" s="406"/>
      <c r="C130" s="311"/>
      <c r="D130" s="312"/>
      <c r="E130" s="313"/>
      <c r="F130" s="123"/>
      <c r="G130" s="409"/>
      <c r="H130" s="374"/>
      <c r="I130" s="314"/>
      <c r="J130" s="314"/>
      <c r="K130" s="374"/>
      <c r="L130" s="374"/>
      <c r="M130" s="372"/>
      <c r="N130" s="665"/>
      <c r="O130" s="314"/>
      <c r="P130" s="374"/>
      <c r="Q130" s="314"/>
      <c r="R130" s="314"/>
      <c r="S130" s="314"/>
      <c r="T130" s="770"/>
      <c r="U130" s="314"/>
      <c r="V130" s="314"/>
      <c r="W130" s="314"/>
      <c r="X130" s="372"/>
      <c r="Y130" s="428"/>
      <c r="Z130" s="429"/>
      <c r="AA130" s="428"/>
      <c r="AB130" s="429"/>
      <c r="AC130" s="429"/>
      <c r="AD130" s="123"/>
      <c r="AE130" s="413" t="s">
        <v>118</v>
      </c>
      <c r="AF130" s="123"/>
      <c r="AG130" s="381"/>
    </row>
    <row r="131" spans="1:33" ht="17.25" x14ac:dyDescent="0.25">
      <c r="A131" s="570" t="s">
        <v>117</v>
      </c>
      <c r="B131" s="571" t="s">
        <v>119</v>
      </c>
      <c r="C131" s="572" t="s">
        <v>467</v>
      </c>
      <c r="D131" s="573"/>
      <c r="E131" s="564" t="s">
        <v>467</v>
      </c>
      <c r="F131" s="587">
        <v>470</v>
      </c>
      <c r="G131" s="565">
        <v>1</v>
      </c>
      <c r="H131" s="574">
        <v>-696</v>
      </c>
      <c r="I131" s="501"/>
      <c r="J131" s="501"/>
      <c r="K131" s="575">
        <f>0.019*F131</f>
        <v>8.93</v>
      </c>
      <c r="L131" s="717">
        <f>L133</f>
        <v>5.577</v>
      </c>
      <c r="M131" s="567"/>
      <c r="N131" s="758"/>
      <c r="O131" s="566" t="s">
        <v>516</v>
      </c>
      <c r="P131" s="576">
        <f>H131+K131+L131+T131+IF($X$1="included",X131,0)</f>
        <v>88.264853333333122</v>
      </c>
      <c r="Q131" s="501"/>
      <c r="R131" s="501"/>
      <c r="S131" s="501"/>
      <c r="T131" s="269">
        <f>ModulCD!$M$7*F131</f>
        <v>769.75785333333317</v>
      </c>
      <c r="U131" s="501"/>
      <c r="V131" s="501"/>
      <c r="W131" s="501"/>
      <c r="X131" s="577">
        <f>ModulCD!$O$7*F131</f>
        <v>-25.906858798797547</v>
      </c>
      <c r="Y131" s="578">
        <v>0</v>
      </c>
      <c r="Z131" s="579">
        <v>0</v>
      </c>
      <c r="AA131" s="580">
        <v>2021</v>
      </c>
      <c r="AB131" s="581">
        <v>2026</v>
      </c>
      <c r="AC131" s="582" t="s">
        <v>542</v>
      </c>
      <c r="AD131" s="110" t="s">
        <v>120</v>
      </c>
      <c r="AE131" s="110"/>
      <c r="AF131" s="583" t="s">
        <v>121</v>
      </c>
      <c r="AG131" s="584"/>
    </row>
    <row r="132" spans="1:33" ht="17.25" x14ac:dyDescent="0.25">
      <c r="A132" s="464"/>
      <c r="B132" s="1" t="s">
        <v>499</v>
      </c>
      <c r="C132" s="233" t="s">
        <v>467</v>
      </c>
      <c r="E132" s="231" t="s">
        <v>467</v>
      </c>
      <c r="F132" s="586">
        <v>450</v>
      </c>
      <c r="G132" s="243">
        <v>1</v>
      </c>
      <c r="H132" s="466">
        <v>-685</v>
      </c>
      <c r="I132" s="235"/>
      <c r="J132" s="235"/>
      <c r="K132" s="325">
        <f t="shared" ref="K132:K138" si="30">0.019*F132</f>
        <v>8.5499999999999989</v>
      </c>
      <c r="L132" s="466">
        <v>0.78300000000000003</v>
      </c>
      <c r="M132" s="251"/>
      <c r="N132" s="758"/>
      <c r="O132" s="250" t="s">
        <v>516</v>
      </c>
      <c r="P132" s="415">
        <f>H132+K132+L132+T132+IF($X$1="included",X132,0)</f>
        <v>43.283021200000007</v>
      </c>
      <c r="Q132" s="235"/>
      <c r="R132" s="235"/>
      <c r="S132" s="235"/>
      <c r="T132" s="279">
        <f>0.0000212+1.95+717</f>
        <v>718.95002120000004</v>
      </c>
      <c r="U132" s="235"/>
      <c r="V132" s="235"/>
      <c r="W132" s="235"/>
      <c r="X132" s="237">
        <f>ModulCD!$O$7*F132</f>
        <v>-24.804439275444462</v>
      </c>
      <c r="Y132" s="238">
        <v>0</v>
      </c>
      <c r="Z132" s="239">
        <v>0</v>
      </c>
      <c r="AA132" s="276">
        <v>2021</v>
      </c>
      <c r="AB132" s="277">
        <v>2026</v>
      </c>
      <c r="AC132" s="266" t="s">
        <v>543</v>
      </c>
      <c r="AF132" t="s">
        <v>504</v>
      </c>
      <c r="AG132" s="217"/>
    </row>
    <row r="133" spans="1:33" ht="17.25" x14ac:dyDescent="0.25">
      <c r="A133" s="330"/>
      <c r="B133" s="1" t="s">
        <v>122</v>
      </c>
      <c r="C133" s="233" t="s">
        <v>467</v>
      </c>
      <c r="E133" s="231" t="s">
        <v>467</v>
      </c>
      <c r="F133" s="586">
        <v>492.92</v>
      </c>
      <c r="G133" s="243">
        <v>1</v>
      </c>
      <c r="H133" s="414">
        <v>-727</v>
      </c>
      <c r="I133" s="235"/>
      <c r="J133" s="235"/>
      <c r="K133" s="325">
        <f>0.019*F133</f>
        <v>9.3654799999999998</v>
      </c>
      <c r="L133" s="414">
        <v>5.577</v>
      </c>
      <c r="M133" s="251"/>
      <c r="N133" s="758"/>
      <c r="O133" s="250" t="s">
        <v>516</v>
      </c>
      <c r="P133" s="415">
        <f t="shared" ref="P133:P140" si="31">H133+K133+L133+T133+IF($X$1="included",X133,0)</f>
        <v>95.238312053333289</v>
      </c>
      <c r="Q133" s="235"/>
      <c r="R133" s="235"/>
      <c r="S133" s="235"/>
      <c r="T133" s="269">
        <f>ModulCD!$M$7*F133</f>
        <v>807.29583205333324</v>
      </c>
      <c r="U133" s="235"/>
      <c r="V133" s="235"/>
      <c r="W133" s="235"/>
      <c r="X133" s="237">
        <f>ModulCD!$O$7*F133</f>
        <v>-27.170231572560187</v>
      </c>
      <c r="Y133" s="238">
        <v>0</v>
      </c>
      <c r="Z133" s="239">
        <v>0</v>
      </c>
      <c r="AA133" s="254">
        <v>2023</v>
      </c>
      <c r="AB133" s="255">
        <v>2028</v>
      </c>
      <c r="AC133" s="266" t="s">
        <v>543</v>
      </c>
      <c r="AD133" t="s">
        <v>123</v>
      </c>
      <c r="AF133" s="416" t="s">
        <v>124</v>
      </c>
      <c r="AG133" s="217"/>
    </row>
    <row r="134" spans="1:33" ht="17.25" x14ac:dyDescent="0.25">
      <c r="A134" s="464" t="s">
        <v>502</v>
      </c>
      <c r="B134" s="1" t="s">
        <v>667</v>
      </c>
      <c r="C134" s="233" t="s">
        <v>467</v>
      </c>
      <c r="E134" s="231" t="s">
        <v>467</v>
      </c>
      <c r="F134" s="586">
        <v>473</v>
      </c>
      <c r="G134" s="243">
        <v>1</v>
      </c>
      <c r="H134" s="414">
        <v>-664</v>
      </c>
      <c r="I134" s="235"/>
      <c r="J134" s="235"/>
      <c r="K134" s="325">
        <f t="shared" si="30"/>
        <v>8.9870000000000001</v>
      </c>
      <c r="L134" s="326">
        <f>L133</f>
        <v>5.577</v>
      </c>
      <c r="M134" s="251"/>
      <c r="N134" s="758"/>
      <c r="O134" s="250" t="s">
        <v>516</v>
      </c>
      <c r="P134" s="415">
        <f t="shared" si="31"/>
        <v>138.99399999999991</v>
      </c>
      <c r="Q134" s="235"/>
      <c r="R134" s="235"/>
      <c r="S134" s="235"/>
      <c r="T134" s="279">
        <v>788.43</v>
      </c>
      <c r="U134" s="235"/>
      <c r="V134" s="235"/>
      <c r="W134" s="235"/>
      <c r="X134" s="237">
        <f>ModulCD!$O$7*F134</f>
        <v>-26.072221727300512</v>
      </c>
      <c r="Y134" s="238">
        <v>0</v>
      </c>
      <c r="Z134" s="239">
        <v>0</v>
      </c>
      <c r="AA134" s="276">
        <v>2023</v>
      </c>
      <c r="AB134" s="277">
        <v>2028</v>
      </c>
      <c r="AC134" s="266" t="s">
        <v>543</v>
      </c>
      <c r="AF134" s="831" t="s">
        <v>668</v>
      </c>
      <c r="AG134" s="217"/>
    </row>
    <row r="135" spans="1:33" ht="17.25" x14ac:dyDescent="0.25">
      <c r="A135" s="120"/>
      <c r="B135" s="1" t="s">
        <v>500</v>
      </c>
      <c r="C135" s="233" t="s">
        <v>467</v>
      </c>
      <c r="E135" s="231" t="s">
        <v>467</v>
      </c>
      <c r="F135" s="586">
        <v>460</v>
      </c>
      <c r="G135" s="243">
        <v>1</v>
      </c>
      <c r="H135" s="466">
        <v>-713</v>
      </c>
      <c r="I135" s="235"/>
      <c r="J135" s="235"/>
      <c r="K135" s="325">
        <f t="shared" si="30"/>
        <v>8.74</v>
      </c>
      <c r="L135" s="250"/>
      <c r="M135" s="251"/>
      <c r="N135" s="758"/>
      <c r="O135" s="250" t="s">
        <v>516</v>
      </c>
      <c r="P135" s="415">
        <f t="shared" si="31"/>
        <v>50.740037099999995</v>
      </c>
      <c r="Q135" s="235"/>
      <c r="R135" s="235"/>
      <c r="S135" s="235"/>
      <c r="T135" s="279">
        <f>0.0000371+2+753</f>
        <v>755.00003709999999</v>
      </c>
      <c r="U135" s="235"/>
      <c r="V135" s="235"/>
      <c r="W135" s="235"/>
      <c r="X135" s="237">
        <f>ModulCD!$O$7*F135</f>
        <v>-25.355649037121005</v>
      </c>
      <c r="Y135" s="238">
        <v>0</v>
      </c>
      <c r="Z135" s="239">
        <v>0</v>
      </c>
      <c r="AA135" s="276">
        <v>2021</v>
      </c>
      <c r="AB135" s="277">
        <v>2026</v>
      </c>
      <c r="AC135" s="266" t="s">
        <v>543</v>
      </c>
      <c r="AF135" t="s">
        <v>505</v>
      </c>
      <c r="AG135" s="217"/>
    </row>
    <row r="136" spans="1:33" ht="17.25" x14ac:dyDescent="0.25">
      <c r="A136" s="464" t="s">
        <v>125</v>
      </c>
      <c r="B136" s="1" t="s">
        <v>669</v>
      </c>
      <c r="C136" s="233" t="s">
        <v>467</v>
      </c>
      <c r="E136" s="231" t="s">
        <v>467</v>
      </c>
      <c r="F136" s="586">
        <v>464</v>
      </c>
      <c r="G136" s="243">
        <v>1</v>
      </c>
      <c r="H136" s="414">
        <v>-687</v>
      </c>
      <c r="I136" s="235"/>
      <c r="J136" s="235"/>
      <c r="K136" s="325">
        <f t="shared" si="30"/>
        <v>8.8159999999999989</v>
      </c>
      <c r="L136" s="326">
        <f>L133</f>
        <v>5.577</v>
      </c>
      <c r="M136" s="251"/>
      <c r="N136" s="758"/>
      <c r="O136" s="250" t="s">
        <v>516</v>
      </c>
      <c r="P136" s="415">
        <f t="shared" si="31"/>
        <v>99.893000000000029</v>
      </c>
      <c r="Q136" s="235"/>
      <c r="R136" s="235"/>
      <c r="S136" s="235"/>
      <c r="T136" s="279">
        <v>772.5</v>
      </c>
      <c r="U136" s="235"/>
      <c r="V136" s="235"/>
      <c r="W136" s="235"/>
      <c r="X136" s="237">
        <f>ModulCD!$O$7*F136</f>
        <v>-25.576132941791624</v>
      </c>
      <c r="Y136" s="238">
        <v>0</v>
      </c>
      <c r="Z136" s="239">
        <v>0</v>
      </c>
      <c r="AA136" s="276">
        <v>2023</v>
      </c>
      <c r="AB136" s="277">
        <v>2028</v>
      </c>
      <c r="AC136" s="266" t="s">
        <v>543</v>
      </c>
      <c r="AF136" s="830" t="s">
        <v>671</v>
      </c>
      <c r="AG136" s="217"/>
    </row>
    <row r="137" spans="1:33" ht="17.25" x14ac:dyDescent="0.25">
      <c r="A137" s="120"/>
      <c r="B137" s="1" t="s">
        <v>670</v>
      </c>
      <c r="C137" s="233" t="s">
        <v>467</v>
      </c>
      <c r="E137" s="231" t="s">
        <v>467</v>
      </c>
      <c r="F137" s="586">
        <v>470</v>
      </c>
      <c r="G137" s="243">
        <v>1</v>
      </c>
      <c r="H137" s="414">
        <v>-608</v>
      </c>
      <c r="I137" s="235"/>
      <c r="J137" s="235"/>
      <c r="K137" s="325">
        <f t="shared" si="30"/>
        <v>8.93</v>
      </c>
      <c r="L137" s="326">
        <f>L133</f>
        <v>5.577</v>
      </c>
      <c r="M137" s="251"/>
      <c r="N137" s="758"/>
      <c r="O137" s="250" t="s">
        <v>516</v>
      </c>
      <c r="P137" s="415">
        <f t="shared" si="31"/>
        <v>160.90699999999993</v>
      </c>
      <c r="Q137" s="235"/>
      <c r="R137" s="235"/>
      <c r="S137" s="235"/>
      <c r="T137" s="279">
        <v>754.4</v>
      </c>
      <c r="U137" s="235"/>
      <c r="V137" s="235"/>
      <c r="W137" s="235"/>
      <c r="X137" s="237">
        <f>ModulCD!$O$7*F137</f>
        <v>-25.906858798797547</v>
      </c>
      <c r="Y137" s="238">
        <v>0</v>
      </c>
      <c r="Z137" s="239">
        <v>0</v>
      </c>
      <c r="AA137" s="276">
        <v>2023</v>
      </c>
      <c r="AB137" s="277">
        <v>2028</v>
      </c>
      <c r="AC137" s="266" t="s">
        <v>543</v>
      </c>
      <c r="AF137" s="830" t="s">
        <v>672</v>
      </c>
      <c r="AG137" s="217"/>
    </row>
    <row r="138" spans="1:33" ht="17.25" x14ac:dyDescent="0.25">
      <c r="A138" s="464" t="s">
        <v>126</v>
      </c>
      <c r="B138" s="1" t="s">
        <v>673</v>
      </c>
      <c r="C138" s="233" t="s">
        <v>467</v>
      </c>
      <c r="E138" s="231" t="s">
        <v>467</v>
      </c>
      <c r="F138" s="586">
        <v>470</v>
      </c>
      <c r="G138" s="243">
        <v>1</v>
      </c>
      <c r="H138" s="414">
        <v>-642</v>
      </c>
      <c r="I138" s="235"/>
      <c r="J138" s="235"/>
      <c r="K138" s="325">
        <f t="shared" si="30"/>
        <v>8.93</v>
      </c>
      <c r="L138" s="326">
        <f>L133</f>
        <v>5.577</v>
      </c>
      <c r="M138" s="251"/>
      <c r="N138" s="758"/>
      <c r="O138" s="250" t="s">
        <v>516</v>
      </c>
      <c r="P138" s="415">
        <f t="shared" si="31"/>
        <v>140.31699999999989</v>
      </c>
      <c r="Q138" s="235"/>
      <c r="R138" s="235"/>
      <c r="S138" s="235"/>
      <c r="T138" s="279">
        <v>767.81</v>
      </c>
      <c r="U138" s="235"/>
      <c r="V138" s="235"/>
      <c r="W138" s="235"/>
      <c r="X138" s="237">
        <f>ModulCD!$O$7*F138</f>
        <v>-25.906858798797547</v>
      </c>
      <c r="Y138" s="238">
        <v>0</v>
      </c>
      <c r="Z138" s="239">
        <v>0</v>
      </c>
      <c r="AA138" s="276">
        <v>2024</v>
      </c>
      <c r="AB138" s="277">
        <v>2029</v>
      </c>
      <c r="AC138" s="266" t="s">
        <v>543</v>
      </c>
      <c r="AF138" s="831" t="s">
        <v>674</v>
      </c>
      <c r="AG138" s="217"/>
    </row>
    <row r="139" spans="1:33" ht="17.25" x14ac:dyDescent="0.25">
      <c r="A139" s="464"/>
      <c r="B139" s="1" t="s">
        <v>501</v>
      </c>
      <c r="C139" s="233" t="s">
        <v>467</v>
      </c>
      <c r="E139" s="231" t="s">
        <v>467</v>
      </c>
      <c r="F139" s="586">
        <v>470</v>
      </c>
      <c r="G139" s="243">
        <v>1</v>
      </c>
      <c r="H139" s="466">
        <v>-707</v>
      </c>
      <c r="I139" s="235"/>
      <c r="J139" s="235"/>
      <c r="K139" s="466">
        <v>38.4</v>
      </c>
      <c r="L139" s="466">
        <v>14.8</v>
      </c>
      <c r="M139" s="251"/>
      <c r="N139" s="758"/>
      <c r="O139" s="250" t="s">
        <v>516</v>
      </c>
      <c r="P139" s="415">
        <f t="shared" si="31"/>
        <v>110.77999999999997</v>
      </c>
      <c r="Q139" s="235"/>
      <c r="R139" s="235"/>
      <c r="S139" s="235"/>
      <c r="T139" s="254">
        <f>0.54+2.04+762</f>
        <v>764.58</v>
      </c>
      <c r="U139" s="235"/>
      <c r="V139" s="235"/>
      <c r="W139" s="235"/>
      <c r="X139" s="237">
        <f>ModulCD!$O$7*F139</f>
        <v>-25.906858798797547</v>
      </c>
      <c r="Y139" s="238">
        <v>0</v>
      </c>
      <c r="Z139" s="239">
        <v>0</v>
      </c>
      <c r="AA139" s="276">
        <v>2021</v>
      </c>
      <c r="AB139" s="277">
        <v>2026</v>
      </c>
      <c r="AC139" s="266"/>
      <c r="AF139" t="s">
        <v>506</v>
      </c>
      <c r="AG139" s="217"/>
    </row>
    <row r="140" spans="1:33" ht="17.25" x14ac:dyDescent="0.25">
      <c r="A140" s="464"/>
      <c r="B140" s="1" t="s">
        <v>675</v>
      </c>
      <c r="C140" s="233" t="s">
        <v>467</v>
      </c>
      <c r="E140" s="231" t="s">
        <v>467</v>
      </c>
      <c r="F140" s="586">
        <v>510</v>
      </c>
      <c r="G140" s="243">
        <v>1</v>
      </c>
      <c r="H140" s="466">
        <v>-693</v>
      </c>
      <c r="I140" s="235"/>
      <c r="J140" s="235"/>
      <c r="K140" s="466">
        <v>27.3</v>
      </c>
      <c r="L140" s="466">
        <v>6.08</v>
      </c>
      <c r="M140" s="251"/>
      <c r="N140" s="758"/>
      <c r="O140" s="250" t="s">
        <v>516</v>
      </c>
      <c r="P140" s="415">
        <f t="shared" si="31"/>
        <v>314.61</v>
      </c>
      <c r="Q140" s="235"/>
      <c r="R140" s="235"/>
      <c r="S140" s="235"/>
      <c r="T140" s="279">
        <v>974.23</v>
      </c>
      <c r="U140" s="235"/>
      <c r="V140" s="235"/>
      <c r="W140" s="235"/>
      <c r="X140" s="237">
        <f>ModulCD!$O$7*F140</f>
        <v>-28.111697845503723</v>
      </c>
      <c r="Y140" s="238">
        <v>0</v>
      </c>
      <c r="Z140" s="239">
        <v>0</v>
      </c>
      <c r="AA140" s="276">
        <v>2024</v>
      </c>
      <c r="AB140" s="277">
        <v>2028</v>
      </c>
      <c r="AC140" s="266"/>
      <c r="AF140" s="831" t="s">
        <v>676</v>
      </c>
      <c r="AG140" s="217"/>
    </row>
    <row r="141" spans="1:33" ht="15.75" thickBot="1" x14ac:dyDescent="0.3">
      <c r="A141" s="347"/>
      <c r="B141" s="348" t="s">
        <v>244</v>
      </c>
      <c r="C141" s="349"/>
      <c r="D141" s="350"/>
      <c r="E141" s="351" t="s">
        <v>467</v>
      </c>
      <c r="F141" s="352">
        <f>D141</f>
        <v>0</v>
      </c>
      <c r="G141" s="353">
        <f>F141</f>
        <v>0</v>
      </c>
      <c r="H141" s="354"/>
      <c r="I141" s="354"/>
      <c r="J141" s="354"/>
      <c r="K141" s="354"/>
      <c r="L141" s="354"/>
      <c r="M141" s="355"/>
      <c r="N141" s="354"/>
      <c r="O141" s="356"/>
      <c r="P141" s="356"/>
      <c r="Q141" s="356"/>
      <c r="R141" s="356"/>
      <c r="S141" s="356"/>
      <c r="T141" s="357"/>
      <c r="U141" s="356"/>
      <c r="V141" s="356"/>
      <c r="W141" s="356"/>
      <c r="X141" s="357"/>
      <c r="Y141" s="358"/>
      <c r="Z141" s="359"/>
      <c r="AA141" s="360"/>
      <c r="AB141" s="361"/>
      <c r="AC141" s="361"/>
      <c r="AD141" s="362"/>
      <c r="AE141" s="362"/>
      <c r="AF141" s="363"/>
      <c r="AG141" s="124"/>
    </row>
    <row r="142" spans="1:33" x14ac:dyDescent="0.25">
      <c r="A142" s="122"/>
      <c r="B142" s="418"/>
      <c r="C142" s="419"/>
      <c r="D142" s="419"/>
      <c r="E142" s="122"/>
      <c r="F142" s="9"/>
      <c r="H142" s="420"/>
      <c r="I142" s="420"/>
      <c r="J142" s="420"/>
      <c r="K142" s="420"/>
      <c r="L142" s="420"/>
      <c r="M142" s="420"/>
      <c r="N142" s="420"/>
      <c r="O142" s="421"/>
      <c r="P142" s="421"/>
      <c r="Q142" s="421"/>
      <c r="R142" s="421"/>
      <c r="S142" s="421"/>
      <c r="T142" s="421"/>
      <c r="U142" s="421"/>
      <c r="V142" s="421"/>
      <c r="W142" s="421"/>
      <c r="X142" s="421"/>
      <c r="Y142" s="422"/>
      <c r="Z142" s="422"/>
      <c r="AA142" s="345"/>
      <c r="AB142" s="345"/>
      <c r="AC142" s="345"/>
      <c r="AD142" s="125"/>
      <c r="AE142" s="125"/>
      <c r="AF142" s="423"/>
    </row>
    <row r="143" spans="1:33" s="136" customFormat="1" ht="18.75" x14ac:dyDescent="0.3">
      <c r="A143" s="10" t="s">
        <v>127</v>
      </c>
      <c r="B143" s="229" t="s">
        <v>128</v>
      </c>
      <c r="C143" s="297"/>
      <c r="D143" s="298"/>
      <c r="E143" s="232"/>
      <c r="G143" s="139"/>
      <c r="H143" s="204"/>
      <c r="I143" s="196"/>
      <c r="J143" s="196"/>
      <c r="K143" s="204"/>
      <c r="L143" s="204"/>
      <c r="M143" s="280"/>
      <c r="N143" s="281"/>
      <c r="O143" s="235"/>
      <c r="P143" s="281"/>
      <c r="Q143" s="235"/>
      <c r="R143" s="235"/>
      <c r="S143" s="235"/>
      <c r="T143" s="205"/>
      <c r="U143" s="196"/>
      <c r="V143" s="196"/>
      <c r="W143" s="196"/>
      <c r="X143" s="280"/>
      <c r="Y143" s="138"/>
      <c r="Z143" s="139"/>
      <c r="AA143" s="137"/>
      <c r="AB143" s="140"/>
      <c r="AC143" s="140"/>
      <c r="AD143" s="135"/>
      <c r="AE143" s="135"/>
      <c r="AF143" s="5"/>
    </row>
    <row r="144" spans="1:33" ht="15.75" thickBot="1" x14ac:dyDescent="0.3">
      <c r="B144" s="1"/>
      <c r="C144" s="122"/>
      <c r="E144" s="122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</row>
    <row r="145" spans="1:33" x14ac:dyDescent="0.25">
      <c r="A145" s="405" t="s">
        <v>129</v>
      </c>
      <c r="B145" s="470"/>
      <c r="C145" s="312"/>
      <c r="D145" s="471"/>
      <c r="E145" s="312"/>
      <c r="F145" s="123"/>
      <c r="G145" s="123"/>
      <c r="H145" s="374"/>
      <c r="I145" s="374"/>
      <c r="J145" s="374"/>
      <c r="K145" s="374"/>
      <c r="L145" s="374"/>
      <c r="M145" s="374"/>
      <c r="N145" s="374"/>
      <c r="O145" s="374"/>
      <c r="P145" s="374"/>
      <c r="Q145" s="374"/>
      <c r="R145" s="374"/>
      <c r="S145" s="374"/>
      <c r="T145" s="374"/>
      <c r="U145" s="374"/>
      <c r="V145" s="374"/>
      <c r="W145" s="374"/>
      <c r="X145" s="374"/>
      <c r="Y145" s="123"/>
      <c r="Z145" s="123"/>
      <c r="AA145" s="123"/>
      <c r="AB145" s="123"/>
      <c r="AC145" s="123"/>
      <c r="AD145" s="123"/>
      <c r="AE145" s="123"/>
      <c r="AF145" s="123"/>
      <c r="AG145" s="123"/>
    </row>
    <row r="146" spans="1:33" s="7" customFormat="1" x14ac:dyDescent="0.25">
      <c r="A146" s="479" t="s">
        <v>130</v>
      </c>
      <c r="B146" s="480"/>
      <c r="C146" s="481"/>
      <c r="D146" s="482"/>
      <c r="E146" s="481"/>
      <c r="F146" s="483"/>
      <c r="G146" s="483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5"/>
      <c r="U146" s="484"/>
      <c r="V146" s="484"/>
      <c r="W146" s="484"/>
      <c r="X146" s="485"/>
      <c r="Y146" s="483"/>
      <c r="Z146" s="483"/>
      <c r="AA146" s="483"/>
      <c r="AB146" s="483"/>
      <c r="AC146" s="483"/>
      <c r="AD146" s="483"/>
      <c r="AE146" s="483"/>
      <c r="AF146" s="483"/>
      <c r="AG146" s="483"/>
    </row>
    <row r="147" spans="1:33" s="6" customFormat="1" x14ac:dyDescent="0.25">
      <c r="A147" s="473" t="s">
        <v>131</v>
      </c>
      <c r="B147" s="397" t="s">
        <v>481</v>
      </c>
      <c r="C147" s="165" t="s">
        <v>19</v>
      </c>
      <c r="D147" s="468">
        <v>91</v>
      </c>
      <c r="E147" s="399" t="s">
        <v>19</v>
      </c>
      <c r="G147" s="87">
        <v>1</v>
      </c>
      <c r="H147" s="474">
        <v>223.97293200000001</v>
      </c>
      <c r="I147" s="180"/>
      <c r="J147" s="180"/>
      <c r="K147" s="444">
        <f>14.13/1000*D147</f>
        <v>1.28583</v>
      </c>
      <c r="L147" s="436">
        <v>18.299999999999997</v>
      </c>
      <c r="M147" s="206"/>
      <c r="N147" s="475">
        <v>111.37464</v>
      </c>
      <c r="O147" s="180"/>
      <c r="P147" s="475">
        <f>216.075647137263-IF($X$1="included",0,X147)</f>
        <v>219.86157689629658</v>
      </c>
      <c r="Q147" s="476"/>
      <c r="R147" s="476"/>
      <c r="S147" s="476"/>
      <c r="T147" s="189">
        <f>$D147/5.15*T$159</f>
        <v>62.923072038834938</v>
      </c>
      <c r="U147" s="336"/>
      <c r="V147" s="336"/>
      <c r="W147" s="336"/>
      <c r="X147" s="40">
        <f>$D147/5.15*X$159*2</f>
        <v>-3.7859297590335808</v>
      </c>
      <c r="Y147" s="44"/>
      <c r="Z147" s="70"/>
      <c r="AA147" s="50"/>
      <c r="AB147" s="46"/>
      <c r="AC147" s="97" t="s">
        <v>546</v>
      </c>
      <c r="AD147" s="9" t="s">
        <v>482</v>
      </c>
      <c r="AE147" s="146" t="s">
        <v>544</v>
      </c>
    </row>
    <row r="148" spans="1:33" s="6" customFormat="1" x14ac:dyDescent="0.25">
      <c r="A148" s="473"/>
      <c r="B148" s="397" t="s">
        <v>483</v>
      </c>
      <c r="C148" s="165" t="s">
        <v>19</v>
      </c>
      <c r="D148" s="468">
        <v>383</v>
      </c>
      <c r="E148" s="399" t="s">
        <v>19</v>
      </c>
      <c r="G148" s="87">
        <v>1</v>
      </c>
      <c r="H148" s="474">
        <v>963.94200500000011</v>
      </c>
      <c r="I148" s="180"/>
      <c r="J148" s="180"/>
      <c r="K148" s="444">
        <f t="shared" ref="K148:K149" si="32">14.13/1000*D148</f>
        <v>5.4117899999999999</v>
      </c>
      <c r="L148" s="436">
        <v>18.299999999999997</v>
      </c>
      <c r="M148" s="206"/>
      <c r="N148" s="475">
        <v>497.30811000000006</v>
      </c>
      <c r="O148" s="180"/>
      <c r="P148" s="475">
        <f>885.893154969424-IF($X$1="included",0,X148)</f>
        <v>901.82734285634558</v>
      </c>
      <c r="Q148" s="476"/>
      <c r="R148" s="476"/>
      <c r="S148" s="476"/>
      <c r="T148" s="189">
        <f>$D148/4.87*T$159</f>
        <v>280.0564420944558</v>
      </c>
      <c r="U148" s="336"/>
      <c r="V148" s="336"/>
      <c r="W148" s="336"/>
      <c r="X148" s="40">
        <f>$D148/5.15*X$159*2</f>
        <v>-15.934187886921555</v>
      </c>
      <c r="Y148" s="44"/>
      <c r="Z148" s="70"/>
      <c r="AA148" s="50"/>
      <c r="AB148" s="46"/>
      <c r="AC148" s="97" t="s">
        <v>546</v>
      </c>
      <c r="AD148" s="9" t="s">
        <v>484</v>
      </c>
      <c r="AE148" t="s">
        <v>545</v>
      </c>
    </row>
    <row r="149" spans="1:33" s="6" customFormat="1" x14ac:dyDescent="0.25">
      <c r="A149" s="473"/>
      <c r="B149" s="397" t="s">
        <v>485</v>
      </c>
      <c r="C149" s="165" t="s">
        <v>19</v>
      </c>
      <c r="D149" s="468">
        <v>588</v>
      </c>
      <c r="E149" s="399" t="s">
        <v>19</v>
      </c>
      <c r="G149" s="87">
        <v>1</v>
      </c>
      <c r="H149" s="474">
        <v>1593.0542459999999</v>
      </c>
      <c r="I149" s="180"/>
      <c r="J149" s="180"/>
      <c r="K149" s="444">
        <f t="shared" si="32"/>
        <v>8.3084400000000009</v>
      </c>
      <c r="L149" s="436">
        <v>18.299999999999997</v>
      </c>
      <c r="M149" s="206"/>
      <c r="N149" s="475">
        <v>912.22950000000003</v>
      </c>
      <c r="O149" s="180"/>
      <c r="P149" s="475">
        <f>1530.10888001739-IF($X$1="included",0,X149)</f>
        <v>1554.5718107680684</v>
      </c>
      <c r="Q149" s="476"/>
      <c r="R149" s="476"/>
      <c r="S149" s="476"/>
      <c r="T149" s="189">
        <f>$D149/4.08*T$159</f>
        <v>513.20740882352936</v>
      </c>
      <c r="U149" s="336"/>
      <c r="V149" s="336"/>
      <c r="W149" s="336"/>
      <c r="X149" s="40">
        <f>$D149/5.15*X$159*2</f>
        <v>-24.462930750678527</v>
      </c>
      <c r="Y149" s="44"/>
      <c r="Z149" s="70"/>
      <c r="AA149" s="50"/>
      <c r="AB149" s="46"/>
      <c r="AC149" s="97" t="s">
        <v>546</v>
      </c>
      <c r="AD149" s="9" t="s">
        <v>486</v>
      </c>
      <c r="AE149" s="146" t="s">
        <v>137</v>
      </c>
    </row>
    <row r="150" spans="1:33" s="9" customFormat="1" x14ac:dyDescent="0.25">
      <c r="A150" s="477"/>
      <c r="B150" s="341" t="s">
        <v>245</v>
      </c>
      <c r="C150" s="242"/>
      <c r="D150" s="342"/>
      <c r="E150" s="231" t="s">
        <v>19</v>
      </c>
      <c r="F150" s="9">
        <f>D150</f>
        <v>0</v>
      </c>
      <c r="G150" s="243">
        <f>F150</f>
        <v>0</v>
      </c>
      <c r="H150" s="343"/>
      <c r="I150" s="343"/>
      <c r="J150" s="343"/>
      <c r="K150" s="343"/>
      <c r="L150" s="343"/>
      <c r="M150" s="181"/>
      <c r="N150" s="343"/>
      <c r="O150" s="344"/>
      <c r="P150" s="344"/>
      <c r="Q150" s="344"/>
      <c r="R150" s="344"/>
      <c r="S150" s="344"/>
      <c r="T150" s="244"/>
      <c r="U150" s="344"/>
      <c r="V150" s="344"/>
      <c r="W150" s="344"/>
      <c r="X150" s="244"/>
      <c r="Y150" s="245"/>
      <c r="Z150" s="246"/>
      <c r="AA150" s="75"/>
      <c r="AB150" s="68"/>
      <c r="AC150" s="68"/>
      <c r="AD150" s="115"/>
      <c r="AE150" s="115"/>
      <c r="AF150" s="550"/>
    </row>
    <row r="151" spans="1:33" s="7" customFormat="1" x14ac:dyDescent="0.25">
      <c r="A151" s="486" t="s">
        <v>276</v>
      </c>
      <c r="B151" s="487" t="s">
        <v>475</v>
      </c>
      <c r="C151" s="488" t="s">
        <v>19</v>
      </c>
      <c r="D151" s="489">
        <v>150.09</v>
      </c>
      <c r="E151" s="490" t="s">
        <v>19</v>
      </c>
      <c r="F151" s="491"/>
      <c r="G151" s="492">
        <v>1</v>
      </c>
      <c r="H151" s="493">
        <f t="shared" ref="H151:H156" si="33">$H$160/1000*D151</f>
        <v>161.48183100000003</v>
      </c>
      <c r="I151" s="494"/>
      <c r="J151" s="494"/>
      <c r="K151" s="495">
        <f>14.13/1000*D151</f>
        <v>2.1207717000000001</v>
      </c>
      <c r="L151" s="493">
        <v>18.299999999999997</v>
      </c>
      <c r="M151" s="496"/>
      <c r="N151" s="499">
        <f>P151</f>
        <v>130.97116218480002</v>
      </c>
      <c r="O151" s="498"/>
      <c r="P151" s="499">
        <f>SUM(H151:L151,T151,IF($X$1="included",X151,0))*0.7</f>
        <v>130.97116218480002</v>
      </c>
      <c r="Q151" s="498"/>
      <c r="R151" s="498"/>
      <c r="S151" s="498"/>
      <c r="T151" s="500">
        <f>$D151*T$160/1000</f>
        <v>5.1990575640000003</v>
      </c>
      <c r="U151" s="501"/>
      <c r="V151" s="501"/>
      <c r="W151" s="501"/>
      <c r="X151" s="502">
        <f>$D151*X$160/1000</f>
        <v>-39.259495608903741</v>
      </c>
      <c r="Y151" s="503"/>
      <c r="Z151" s="504"/>
      <c r="AA151" s="503"/>
      <c r="AB151" s="504"/>
      <c r="AC151" s="505" t="s">
        <v>547</v>
      </c>
      <c r="AD151" s="491"/>
      <c r="AE151" s="491"/>
      <c r="AF151" s="551"/>
      <c r="AG151" s="491"/>
    </row>
    <row r="152" spans="1:33" s="7" customFormat="1" x14ac:dyDescent="0.25">
      <c r="A152" s="478"/>
      <c r="B152" s="397" t="s">
        <v>476</v>
      </c>
      <c r="C152" s="165" t="s">
        <v>19</v>
      </c>
      <c r="D152" s="468">
        <v>716.81</v>
      </c>
      <c r="E152" s="399" t="s">
        <v>19</v>
      </c>
      <c r="G152" s="87">
        <v>1</v>
      </c>
      <c r="H152" s="436">
        <f t="shared" si="33"/>
        <v>771.21587899999997</v>
      </c>
      <c r="I152" s="180"/>
      <c r="J152" s="180"/>
      <c r="K152" s="444">
        <f t="shared" ref="K152:K156" si="34">14.13/1000*D152</f>
        <v>10.1285253</v>
      </c>
      <c r="L152" s="436">
        <v>18.299999999999997</v>
      </c>
      <c r="M152" s="201"/>
      <c r="N152" s="475">
        <f t="shared" ref="N152:N156" si="35">P152</f>
        <v>577.13209118319992</v>
      </c>
      <c r="O152" s="193"/>
      <c r="P152" s="475">
        <f t="shared" ref="P152:P156" si="36">SUM(H152:L152,T152,IF($X$1="included",X152,0))*0.7</f>
        <v>577.13209118319992</v>
      </c>
      <c r="Q152" s="193"/>
      <c r="R152" s="193"/>
      <c r="S152" s="193"/>
      <c r="T152" s="191">
        <f t="shared" ref="T152:T156" si="37">$D152*T$160/1000</f>
        <v>24.830011675999998</v>
      </c>
      <c r="U152" s="235"/>
      <c r="V152" s="235"/>
      <c r="W152" s="235"/>
      <c r="X152" s="40">
        <f>$D152*X$160/1000</f>
        <v>-187.49816141927039</v>
      </c>
      <c r="Y152" s="18"/>
      <c r="Z152" s="48"/>
      <c r="AA152" s="18"/>
      <c r="AB152" s="48"/>
      <c r="AC152" s="98" t="s">
        <v>548</v>
      </c>
      <c r="AF152" s="9"/>
    </row>
    <row r="153" spans="1:33" s="7" customFormat="1" x14ac:dyDescent="0.25">
      <c r="A153" s="506"/>
      <c r="B153" s="507" t="s">
        <v>477</v>
      </c>
      <c r="C153" s="508" t="s">
        <v>19</v>
      </c>
      <c r="D153" s="509">
        <v>1852.91</v>
      </c>
      <c r="E153" s="510" t="s">
        <v>19</v>
      </c>
      <c r="F153" s="483"/>
      <c r="G153" s="511">
        <v>1</v>
      </c>
      <c r="H153" s="512">
        <f t="shared" si="33"/>
        <v>1993.5458690000003</v>
      </c>
      <c r="I153" s="513"/>
      <c r="J153" s="513"/>
      <c r="K153" s="514">
        <f t="shared" si="34"/>
        <v>26.1816183</v>
      </c>
      <c r="L153" s="512">
        <v>18.299999999999997</v>
      </c>
      <c r="M153" s="515"/>
      <c r="N153" s="517">
        <f t="shared" si="35"/>
        <v>1471.5480839752001</v>
      </c>
      <c r="O153" s="516"/>
      <c r="P153" s="517">
        <f t="shared" si="36"/>
        <v>1471.5480839752001</v>
      </c>
      <c r="Q153" s="516"/>
      <c r="R153" s="516"/>
      <c r="S153" s="516"/>
      <c r="T153" s="518">
        <f t="shared" si="37"/>
        <v>64.184061236000005</v>
      </c>
      <c r="U153" s="519"/>
      <c r="V153" s="519"/>
      <c r="W153" s="519"/>
      <c r="X153" s="520">
        <f t="shared" ref="X153:X156" si="38">$D153*X$160/1000</f>
        <v>-484.67127729158398</v>
      </c>
      <c r="Y153" s="521"/>
      <c r="Z153" s="522"/>
      <c r="AA153" s="521"/>
      <c r="AB153" s="522"/>
      <c r="AC153" s="523" t="s">
        <v>549</v>
      </c>
      <c r="AD153" s="483"/>
      <c r="AE153" s="483"/>
      <c r="AF153" s="451"/>
      <c r="AG153" s="483"/>
    </row>
    <row r="154" spans="1:33" s="7" customFormat="1" x14ac:dyDescent="0.25">
      <c r="A154" s="486" t="s">
        <v>277</v>
      </c>
      <c r="B154" s="487" t="s">
        <v>478</v>
      </c>
      <c r="C154" s="488" t="s">
        <v>19</v>
      </c>
      <c r="D154" s="489">
        <v>200</v>
      </c>
      <c r="E154" s="490" t="s">
        <v>19</v>
      </c>
      <c r="F154" s="491"/>
      <c r="G154" s="492">
        <v>1</v>
      </c>
      <c r="H154" s="493">
        <f t="shared" si="33"/>
        <v>215.18</v>
      </c>
      <c r="I154" s="494"/>
      <c r="J154" s="494"/>
      <c r="K154" s="495">
        <f>14.13/1000*D154</f>
        <v>2.8260000000000001</v>
      </c>
      <c r="L154" s="493">
        <v>18.299999999999997</v>
      </c>
      <c r="M154" s="496"/>
      <c r="N154" s="499">
        <f t="shared" si="35"/>
        <v>170.26374399999997</v>
      </c>
      <c r="O154" s="498"/>
      <c r="P154" s="499">
        <f t="shared" si="36"/>
        <v>170.26374399999997</v>
      </c>
      <c r="Q154" s="498"/>
      <c r="R154" s="498"/>
      <c r="S154" s="498"/>
      <c r="T154" s="500">
        <f t="shared" si="37"/>
        <v>6.9279200000000003</v>
      </c>
      <c r="U154" s="501"/>
      <c r="V154" s="501"/>
      <c r="W154" s="501"/>
      <c r="X154" s="502">
        <f t="shared" si="38"/>
        <v>-52.314605381975809</v>
      </c>
      <c r="Y154" s="503"/>
      <c r="Z154" s="504"/>
      <c r="AA154" s="547"/>
      <c r="AB154" s="548"/>
      <c r="AC154" s="505" t="s">
        <v>550</v>
      </c>
      <c r="AD154" s="491"/>
      <c r="AE154" s="491"/>
      <c r="AF154" s="551"/>
      <c r="AG154" s="491"/>
    </row>
    <row r="155" spans="1:33" s="7" customFormat="1" x14ac:dyDescent="0.25">
      <c r="A155" s="434"/>
      <c r="B155" s="397" t="s">
        <v>479</v>
      </c>
      <c r="C155" s="165" t="s">
        <v>19</v>
      </c>
      <c r="D155" s="468">
        <v>1180</v>
      </c>
      <c r="E155" s="399" t="s">
        <v>19</v>
      </c>
      <c r="G155" s="87">
        <v>1</v>
      </c>
      <c r="H155" s="436">
        <f t="shared" si="33"/>
        <v>1269.5620000000001</v>
      </c>
      <c r="I155" s="180"/>
      <c r="J155" s="180"/>
      <c r="K155" s="444">
        <f t="shared" si="34"/>
        <v>16.673400000000001</v>
      </c>
      <c r="L155" s="436">
        <v>18.299999999999997</v>
      </c>
      <c r="M155" s="201"/>
      <c r="N155" s="475">
        <f t="shared" si="35"/>
        <v>941.78708959999994</v>
      </c>
      <c r="O155" s="193"/>
      <c r="P155" s="475">
        <f t="shared" si="36"/>
        <v>941.78708959999994</v>
      </c>
      <c r="Q155" s="193"/>
      <c r="R155" s="193"/>
      <c r="S155" s="193"/>
      <c r="T155" s="191">
        <f t="shared" si="37"/>
        <v>40.874728000000005</v>
      </c>
      <c r="U155" s="235"/>
      <c r="V155" s="235"/>
      <c r="W155" s="235"/>
      <c r="X155" s="40">
        <f t="shared" si="38"/>
        <v>-308.6561717536573</v>
      </c>
      <c r="Y155" s="18"/>
      <c r="Z155" s="48"/>
      <c r="AA155" s="18"/>
      <c r="AB155" s="48"/>
      <c r="AC155" s="98" t="s">
        <v>550</v>
      </c>
      <c r="AF155" s="9"/>
    </row>
    <row r="156" spans="1:33" s="7" customFormat="1" x14ac:dyDescent="0.25">
      <c r="A156" s="434"/>
      <c r="B156" s="397" t="s">
        <v>480</v>
      </c>
      <c r="C156" s="165" t="s">
        <v>19</v>
      </c>
      <c r="D156" s="468">
        <v>2770</v>
      </c>
      <c r="E156" s="399" t="s">
        <v>19</v>
      </c>
      <c r="G156" s="87">
        <v>1</v>
      </c>
      <c r="H156" s="436">
        <f t="shared" si="33"/>
        <v>2980.2430000000004</v>
      </c>
      <c r="I156" s="180"/>
      <c r="J156" s="180"/>
      <c r="K156" s="444">
        <f t="shared" si="34"/>
        <v>39.140100000000004</v>
      </c>
      <c r="L156" s="436">
        <v>18.299999999999997</v>
      </c>
      <c r="M156" s="201"/>
      <c r="N156" s="475">
        <f t="shared" si="35"/>
        <v>2193.5443544000004</v>
      </c>
      <c r="O156" s="193"/>
      <c r="P156" s="475">
        <f t="shared" si="36"/>
        <v>2193.5443544000004</v>
      </c>
      <c r="Q156" s="193"/>
      <c r="R156" s="193"/>
      <c r="S156" s="336"/>
      <c r="T156" s="191">
        <f t="shared" si="37"/>
        <v>95.951692000000008</v>
      </c>
      <c r="U156" s="235"/>
      <c r="V156" s="235"/>
      <c r="W156" s="235"/>
      <c r="X156" s="40">
        <f t="shared" si="38"/>
        <v>-724.557284540365</v>
      </c>
      <c r="Y156" s="18"/>
      <c r="Z156" s="48"/>
      <c r="AA156" s="45"/>
      <c r="AB156" s="47"/>
      <c r="AC156" s="98" t="s">
        <v>550</v>
      </c>
      <c r="AF156" s="9"/>
    </row>
    <row r="157" spans="1:33" s="7" customFormat="1" x14ac:dyDescent="0.25">
      <c r="A157" s="549"/>
      <c r="B157" s="447" t="s">
        <v>246</v>
      </c>
      <c r="C157" s="448"/>
      <c r="D157" s="449"/>
      <c r="E157" s="450" t="s">
        <v>19</v>
      </c>
      <c r="F157" s="451">
        <f>D157</f>
        <v>0</v>
      </c>
      <c r="G157" s="452">
        <f>F157</f>
        <v>0</v>
      </c>
      <c r="H157" s="453"/>
      <c r="I157" s="453"/>
      <c r="J157" s="453"/>
      <c r="K157" s="453"/>
      <c r="L157" s="453"/>
      <c r="M157" s="454"/>
      <c r="N157" s="453"/>
      <c r="O157" s="455"/>
      <c r="P157" s="455"/>
      <c r="Q157" s="455"/>
      <c r="R157" s="455"/>
      <c r="S157" s="455"/>
      <c r="T157" s="456"/>
      <c r="U157" s="455"/>
      <c r="V157" s="455"/>
      <c r="W157" s="455"/>
      <c r="X157" s="456"/>
      <c r="Y157" s="457"/>
      <c r="Z157" s="458"/>
      <c r="AA157" s="459"/>
      <c r="AB157" s="460"/>
      <c r="AC157" s="460"/>
      <c r="AD157" s="461"/>
      <c r="AE157" s="461"/>
      <c r="AF157" s="462"/>
      <c r="AG157" s="483"/>
    </row>
    <row r="158" spans="1:33" s="7" customFormat="1" x14ac:dyDescent="0.25">
      <c r="A158" s="525" t="s">
        <v>132</v>
      </c>
      <c r="B158" s="21"/>
      <c r="C158" s="227"/>
      <c r="D158" s="468"/>
      <c r="E158" s="227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</row>
    <row r="159" spans="1:33" s="9" customFormat="1" outlineLevel="1" x14ac:dyDescent="0.25">
      <c r="A159" s="876" t="s">
        <v>133</v>
      </c>
      <c r="B159" s="21" t="s">
        <v>134</v>
      </c>
      <c r="C159" s="168" t="s">
        <v>106</v>
      </c>
      <c r="D159" s="468"/>
      <c r="E159" s="334"/>
      <c r="G159" s="91"/>
      <c r="H159" s="335">
        <v>6.2380000000000004</v>
      </c>
      <c r="I159" s="336"/>
      <c r="J159" s="336"/>
      <c r="K159" s="524"/>
      <c r="L159" s="524"/>
      <c r="M159" s="207"/>
      <c r="N159" s="524"/>
      <c r="O159" s="336"/>
      <c r="P159" s="524"/>
      <c r="Q159" s="336"/>
      <c r="R159" s="336"/>
      <c r="S159" s="336"/>
      <c r="T159" s="215">
        <f>0.005031+3.556</f>
        <v>3.5610309999999998</v>
      </c>
      <c r="U159" s="336"/>
      <c r="V159" s="336"/>
      <c r="W159" s="336"/>
      <c r="X159" s="40">
        <f>ModulCD!$O$8</f>
        <v>-0.10712933109353266</v>
      </c>
      <c r="Y159" s="55">
        <v>0</v>
      </c>
      <c r="Z159" s="71">
        <v>0</v>
      </c>
      <c r="AA159" s="79">
        <v>2023</v>
      </c>
      <c r="AB159" s="65">
        <v>2026</v>
      </c>
      <c r="AC159" s="47"/>
      <c r="AD159" t="s">
        <v>135</v>
      </c>
      <c r="AE159" s="9" t="s">
        <v>136</v>
      </c>
      <c r="AF159" s="240" t="s">
        <v>723</v>
      </c>
      <c r="AG159" s="526"/>
    </row>
    <row r="160" spans="1:33" s="7" customFormat="1" x14ac:dyDescent="0.25">
      <c r="A160" s="877" t="s">
        <v>133</v>
      </c>
      <c r="B160" s="552" t="s">
        <v>522</v>
      </c>
      <c r="C160" s="488" t="s">
        <v>9</v>
      </c>
      <c r="D160" s="489"/>
      <c r="E160" s="553"/>
      <c r="F160" s="491"/>
      <c r="G160" s="554"/>
      <c r="H160" s="555">
        <f>0.9*H277+0.1*H161</f>
        <v>1075.9000000000001</v>
      </c>
      <c r="I160" s="556"/>
      <c r="J160" s="556"/>
      <c r="K160" s="497"/>
      <c r="L160" s="497"/>
      <c r="M160" s="557"/>
      <c r="N160" s="497"/>
      <c r="O160" s="498"/>
      <c r="P160" s="497"/>
      <c r="Q160" s="498"/>
      <c r="R160" s="498"/>
      <c r="S160" s="498"/>
      <c r="T160" s="555">
        <f>0.9*T277+0.1*T161</f>
        <v>34.639600000000002</v>
      </c>
      <c r="U160" s="556"/>
      <c r="V160" s="556"/>
      <c r="W160" s="556"/>
      <c r="X160" s="555">
        <f>0.9*X277+0.1*X161</f>
        <v>-261.57302690987905</v>
      </c>
      <c r="Y160" s="503"/>
      <c r="Z160" s="504"/>
      <c r="AA160" s="503"/>
      <c r="AB160" s="504"/>
      <c r="AC160" s="548" t="s">
        <v>523</v>
      </c>
      <c r="AD160" s="491"/>
      <c r="AE160" s="491"/>
      <c r="AF160" s="491"/>
      <c r="AG160" s="491"/>
    </row>
    <row r="161" spans="1:33" s="9" customFormat="1" ht="15.75" thickBot="1" x14ac:dyDescent="0.3">
      <c r="A161" s="878" t="s">
        <v>133</v>
      </c>
      <c r="B161" s="527" t="s">
        <v>139</v>
      </c>
      <c r="C161" s="528" t="s">
        <v>9</v>
      </c>
      <c r="D161" s="529"/>
      <c r="E161" s="530"/>
      <c r="F161" s="588">
        <v>7900</v>
      </c>
      <c r="G161" s="532"/>
      <c r="H161" s="533">
        <v>3658</v>
      </c>
      <c r="I161" s="534"/>
      <c r="J161" s="534"/>
      <c r="K161" s="535"/>
      <c r="L161" s="535"/>
      <c r="M161" s="536"/>
      <c r="N161" s="535"/>
      <c r="O161" s="534"/>
      <c r="P161" s="535"/>
      <c r="Q161" s="534"/>
      <c r="R161" s="534"/>
      <c r="S161" s="534"/>
      <c r="T161" s="537">
        <v>3.4060000000000001</v>
      </c>
      <c r="U161" s="538"/>
      <c r="V161" s="538"/>
      <c r="W161" s="538"/>
      <c r="X161" s="539">
        <f>IF((Z161-Y161)&lt;0,(Z161-Y161)*-ModulCD!$B$44,(Z161-Y161)*ModulCD!$O$5)*1000</f>
        <v>77.000000000000014</v>
      </c>
      <c r="Y161" s="540">
        <v>1</v>
      </c>
      <c r="Z161" s="541">
        <v>0.86</v>
      </c>
      <c r="AA161" s="542">
        <v>2023</v>
      </c>
      <c r="AB161" s="543">
        <v>2026</v>
      </c>
      <c r="AC161" s="544"/>
      <c r="AD161" s="352"/>
      <c r="AE161" s="352"/>
      <c r="AF161" s="545" t="s">
        <v>677</v>
      </c>
      <c r="AG161" s="546"/>
    </row>
    <row r="162" spans="1:33" s="23" customFormat="1" ht="15" hidden="1" customHeight="1" x14ac:dyDescent="0.25">
      <c r="A162" s="22"/>
      <c r="B162" s="230" t="s">
        <v>140</v>
      </c>
      <c r="C162" s="169" t="s">
        <v>9</v>
      </c>
      <c r="D162" s="226"/>
      <c r="E162" s="175"/>
      <c r="F162" s="23">
        <v>7900</v>
      </c>
      <c r="G162" s="92" t="s">
        <v>469</v>
      </c>
      <c r="H162" s="208">
        <v>3390</v>
      </c>
      <c r="I162" s="209"/>
      <c r="J162" s="209"/>
      <c r="K162" s="194"/>
      <c r="L162" s="194"/>
      <c r="M162" s="210"/>
      <c r="N162" s="194"/>
      <c r="O162" s="209"/>
      <c r="P162" s="194"/>
      <c r="Q162" s="209"/>
      <c r="R162" s="209"/>
      <c r="S162" s="209"/>
      <c r="T162" s="211">
        <v>3.6419109999999999</v>
      </c>
      <c r="U162" s="209"/>
      <c r="V162" s="209"/>
      <c r="W162" s="209"/>
      <c r="X162" s="211">
        <v>-437.28617345532928</v>
      </c>
      <c r="Y162" s="56">
        <v>0.65200000000000002</v>
      </c>
      <c r="Z162" s="72">
        <v>0.89398591294925056</v>
      </c>
      <c r="AA162" s="80">
        <v>2019</v>
      </c>
      <c r="AB162" s="66">
        <v>2024</v>
      </c>
      <c r="AC162" s="85"/>
      <c r="AF162" s="24" t="s">
        <v>141</v>
      </c>
    </row>
    <row r="163" spans="1:33" s="7" customFormat="1" ht="15" hidden="1" customHeight="1" x14ac:dyDescent="0.25">
      <c r="A163" s="8"/>
      <c r="B163" s="8" t="s">
        <v>142</v>
      </c>
      <c r="C163" s="167" t="s">
        <v>106</v>
      </c>
      <c r="D163" s="227"/>
      <c r="E163" s="174"/>
      <c r="G163" s="90"/>
      <c r="H163" s="190">
        <v>3.64</v>
      </c>
      <c r="I163" s="193"/>
      <c r="J163" s="193"/>
      <c r="K163" s="190"/>
      <c r="L163" s="190"/>
      <c r="M163" s="192"/>
      <c r="N163" s="190"/>
      <c r="O163" s="193"/>
      <c r="P163" s="190"/>
      <c r="Q163" s="193"/>
      <c r="R163" s="193"/>
      <c r="S163" s="193"/>
      <c r="T163" s="195">
        <v>2.9867889999999999</v>
      </c>
      <c r="U163" s="180"/>
      <c r="V163" s="180"/>
      <c r="W163" s="180"/>
      <c r="X163" s="195">
        <v>-1.0354082496441979</v>
      </c>
      <c r="Y163" s="57">
        <v>0</v>
      </c>
      <c r="Z163" s="73">
        <v>0</v>
      </c>
      <c r="AA163" s="81">
        <v>2018</v>
      </c>
      <c r="AB163" s="67">
        <v>2022</v>
      </c>
      <c r="AC163" s="48"/>
      <c r="AF163" s="126" t="s">
        <v>143</v>
      </c>
    </row>
    <row r="164" spans="1:33" s="7" customFormat="1" ht="15" hidden="1" customHeight="1" x14ac:dyDescent="0.25">
      <c r="A164" s="8"/>
      <c r="B164" s="8" t="s">
        <v>144</v>
      </c>
      <c r="C164" s="167" t="s">
        <v>468</v>
      </c>
      <c r="D164" s="227"/>
      <c r="E164" s="174"/>
      <c r="F164" s="7">
        <v>3.36</v>
      </c>
      <c r="G164" s="90" t="s">
        <v>469</v>
      </c>
      <c r="H164" s="190">
        <v>5.87</v>
      </c>
      <c r="I164" s="193"/>
      <c r="J164" s="193"/>
      <c r="K164" s="190"/>
      <c r="L164" s="190">
        <v>0.46400000000000002</v>
      </c>
      <c r="M164" s="192"/>
      <c r="N164" s="190">
        <v>0.39900000000000002</v>
      </c>
      <c r="O164" s="193"/>
      <c r="P164" s="190"/>
      <c r="Q164" s="193"/>
      <c r="R164" s="193"/>
      <c r="S164" s="193"/>
      <c r="T164" s="195">
        <v>10.035611039999999</v>
      </c>
      <c r="U164" s="180"/>
      <c r="V164" s="180"/>
      <c r="W164" s="180"/>
      <c r="X164" s="195">
        <v>-3.4789717188045048</v>
      </c>
      <c r="Y164" s="57">
        <v>0</v>
      </c>
      <c r="Z164" s="73">
        <v>0</v>
      </c>
      <c r="AA164" s="81">
        <v>2018</v>
      </c>
      <c r="AB164" s="67">
        <v>2023</v>
      </c>
      <c r="AC164" s="48"/>
      <c r="AF164" s="126" t="s">
        <v>145</v>
      </c>
    </row>
    <row r="165" spans="1:33" s="7" customFormat="1" ht="15" hidden="1" customHeight="1" x14ac:dyDescent="0.25">
      <c r="A165" s="8"/>
      <c r="B165" s="307" t="s">
        <v>146</v>
      </c>
      <c r="C165" s="167" t="s">
        <v>106</v>
      </c>
      <c r="D165" s="228"/>
      <c r="E165" s="174"/>
      <c r="F165" s="7" t="s">
        <v>147</v>
      </c>
      <c r="G165" s="90" t="s">
        <v>469</v>
      </c>
      <c r="H165" s="190">
        <v>14.44</v>
      </c>
      <c r="I165" s="193"/>
      <c r="J165" s="193"/>
      <c r="K165" s="190"/>
      <c r="L165" s="190"/>
      <c r="M165" s="192"/>
      <c r="N165" s="190"/>
      <c r="O165" s="193"/>
      <c r="P165" s="190"/>
      <c r="Q165" s="193"/>
      <c r="R165" s="193"/>
      <c r="S165" s="193"/>
      <c r="T165" s="195">
        <v>2.9867889999999999</v>
      </c>
      <c r="U165" s="180"/>
      <c r="V165" s="180"/>
      <c r="W165" s="180"/>
      <c r="X165" s="195">
        <v>-1.0354082496441979</v>
      </c>
      <c r="Y165" s="57">
        <v>0</v>
      </c>
      <c r="Z165" s="73">
        <v>0</v>
      </c>
      <c r="AA165" s="81">
        <v>2018</v>
      </c>
      <c r="AB165" s="67">
        <v>2022</v>
      </c>
      <c r="AC165" s="48"/>
      <c r="AD165" s="7" t="s">
        <v>148</v>
      </c>
      <c r="AF165" s="126" t="s">
        <v>149</v>
      </c>
    </row>
    <row r="166" spans="1:33" ht="15.75" thickBot="1" x14ac:dyDescent="0.3">
      <c r="B166" s="1"/>
      <c r="C166" s="122"/>
      <c r="E166" s="122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190"/>
      <c r="T166" s="250"/>
      <c r="U166" s="250"/>
      <c r="V166" s="250"/>
      <c r="W166" s="250"/>
      <c r="X166" s="250"/>
    </row>
    <row r="167" spans="1:33" x14ac:dyDescent="0.25">
      <c r="A167" s="405" t="s">
        <v>150</v>
      </c>
      <c r="B167" s="406"/>
      <c r="C167" s="312"/>
      <c r="D167" s="312"/>
      <c r="E167" s="312"/>
      <c r="F167" s="123"/>
      <c r="G167" s="123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  <c r="S167" s="374"/>
      <c r="T167" s="374"/>
      <c r="U167" s="374"/>
      <c r="V167" s="374"/>
      <c r="W167" s="374"/>
      <c r="X167" s="374"/>
      <c r="Y167" s="123"/>
      <c r="Z167" s="123"/>
      <c r="AA167" s="123"/>
      <c r="AB167" s="123"/>
      <c r="AC167" s="123"/>
      <c r="AD167" s="123"/>
      <c r="AE167" s="123"/>
      <c r="AF167" s="123"/>
      <c r="AG167" s="123"/>
    </row>
    <row r="168" spans="1:33" hidden="1" outlineLevel="1" x14ac:dyDescent="0.25">
      <c r="A168" s="329"/>
      <c r="B168" s="1"/>
      <c r="C168" s="122"/>
      <c r="D168" s="228"/>
      <c r="E168" s="122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AE168" t="s">
        <v>14</v>
      </c>
    </row>
    <row r="169" spans="1:33" hidden="1" outlineLevel="1" x14ac:dyDescent="0.25">
      <c r="A169" s="329"/>
      <c r="B169" s="307" t="s">
        <v>151</v>
      </c>
      <c r="C169" s="122"/>
      <c r="D169" s="228"/>
      <c r="E169" s="122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AD169" t="s">
        <v>152</v>
      </c>
      <c r="AE169" t="s">
        <v>14</v>
      </c>
    </row>
    <row r="170" spans="1:33" hidden="1" outlineLevel="1" x14ac:dyDescent="0.25">
      <c r="A170" s="329"/>
      <c r="B170" s="307" t="s">
        <v>15</v>
      </c>
      <c r="C170" s="122"/>
      <c r="D170" s="228"/>
      <c r="E170" s="122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AE170" s="274" t="s">
        <v>153</v>
      </c>
    </row>
    <row r="171" spans="1:33" collapsed="1" x14ac:dyDescent="0.25">
      <c r="A171" s="472" t="s">
        <v>154</v>
      </c>
      <c r="B171" s="8"/>
      <c r="C171" s="227"/>
      <c r="D171" s="227"/>
      <c r="E171" s="122"/>
      <c r="F171" s="7"/>
      <c r="H171" s="190"/>
      <c r="I171" s="190"/>
      <c r="J171" s="190"/>
      <c r="K171" s="190"/>
      <c r="L171" s="190"/>
      <c r="M171" s="19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</row>
    <row r="172" spans="1:33" x14ac:dyDescent="0.25">
      <c r="A172" s="561"/>
      <c r="B172" s="552" t="s">
        <v>511</v>
      </c>
      <c r="C172" s="562"/>
      <c r="D172" s="563"/>
      <c r="E172" s="564"/>
      <c r="F172" s="491">
        <v>0</v>
      </c>
      <c r="G172" s="565">
        <v>1</v>
      </c>
      <c r="H172" s="497"/>
      <c r="I172" s="498"/>
      <c r="J172" s="498"/>
      <c r="K172" s="497"/>
      <c r="L172" s="497"/>
      <c r="M172" s="557"/>
      <c r="N172" s="566"/>
      <c r="O172" s="501"/>
      <c r="P172" s="566"/>
      <c r="Q172" s="501"/>
      <c r="R172" s="501"/>
      <c r="S172" s="501"/>
      <c r="T172" s="567"/>
      <c r="U172" s="501"/>
      <c r="V172" s="501"/>
      <c r="W172" s="501"/>
      <c r="X172" s="567"/>
      <c r="Y172" s="568"/>
      <c r="Z172" s="569"/>
      <c r="AA172" s="568"/>
      <c r="AB172" s="568"/>
      <c r="AC172" s="569"/>
      <c r="AD172" s="110"/>
      <c r="AE172" s="110"/>
      <c r="AF172" s="110"/>
      <c r="AG172" s="110"/>
    </row>
    <row r="173" spans="1:33" s="9" customFormat="1" x14ac:dyDescent="0.25">
      <c r="A173" s="432"/>
      <c r="B173" s="397" t="s">
        <v>487</v>
      </c>
      <c r="C173" s="170" t="s">
        <v>9</v>
      </c>
      <c r="D173" s="333"/>
      <c r="E173" s="334" t="s">
        <v>7</v>
      </c>
      <c r="F173" s="558">
        <v>100</v>
      </c>
      <c r="G173" s="243">
        <f>F173/1000</f>
        <v>0.1</v>
      </c>
      <c r="H173" s="401">
        <f>H$277</f>
        <v>789</v>
      </c>
      <c r="I173" s="401">
        <f t="shared" ref="I173:L174" si="39">I$277</f>
        <v>0</v>
      </c>
      <c r="J173" s="401">
        <f t="shared" si="39"/>
        <v>0</v>
      </c>
      <c r="K173" s="401">
        <f t="shared" si="39"/>
        <v>55.06</v>
      </c>
      <c r="L173" s="401">
        <f t="shared" si="39"/>
        <v>12.2</v>
      </c>
      <c r="M173" s="251"/>
      <c r="N173" s="475">
        <f>P173</f>
        <v>894.37</v>
      </c>
      <c r="O173" s="235"/>
      <c r="P173" s="415">
        <f>H173+K173+L173+T173+IF($X$1="included",X173,0)</f>
        <v>894.37</v>
      </c>
      <c r="Q173" s="235"/>
      <c r="R173" s="235"/>
      <c r="S173" s="235"/>
      <c r="T173" s="219">
        <f t="shared" ref="T173:T174" si="40">T$277</f>
        <v>38.11</v>
      </c>
      <c r="U173" s="235"/>
      <c r="V173" s="235"/>
      <c r="W173" s="235"/>
      <c r="X173" s="219">
        <f t="shared" ref="X173:X174" si="41">X$277</f>
        <v>-299.19225212208784</v>
      </c>
      <c r="Y173" s="54"/>
      <c r="Z173" s="47"/>
      <c r="AA173" s="220">
        <f t="shared" ref="AA173:AB174" si="42">AA$277</f>
        <v>2024</v>
      </c>
      <c r="AB173" s="220">
        <f t="shared" si="42"/>
        <v>2029</v>
      </c>
      <c r="AC173" s="127"/>
      <c r="AD173" s="146" t="s">
        <v>553</v>
      </c>
    </row>
    <row r="174" spans="1:33" s="9" customFormat="1" x14ac:dyDescent="0.25">
      <c r="A174" s="432"/>
      <c r="B174" s="397" t="s">
        <v>488</v>
      </c>
      <c r="C174" s="170" t="s">
        <v>9</v>
      </c>
      <c r="D174" s="333"/>
      <c r="E174" s="334" t="s">
        <v>7</v>
      </c>
      <c r="F174" s="558">
        <v>300</v>
      </c>
      <c r="G174" s="243">
        <f>F174/1000</f>
        <v>0.3</v>
      </c>
      <c r="H174" s="401">
        <f>H$277</f>
        <v>789</v>
      </c>
      <c r="I174" s="401">
        <f t="shared" si="39"/>
        <v>0</v>
      </c>
      <c r="J174" s="401">
        <f t="shared" si="39"/>
        <v>0</v>
      </c>
      <c r="K174" s="401">
        <f t="shared" si="39"/>
        <v>55.06</v>
      </c>
      <c r="L174" s="401">
        <f t="shared" si="39"/>
        <v>12.2</v>
      </c>
      <c r="M174" s="251"/>
      <c r="N174" s="475">
        <f>P174</f>
        <v>894.37</v>
      </c>
      <c r="O174" s="235"/>
      <c r="P174" s="415">
        <f>H174+K174+L174+T174+IF($X$1="included",X174,0)</f>
        <v>894.37</v>
      </c>
      <c r="Q174" s="235"/>
      <c r="R174" s="235"/>
      <c r="S174" s="235"/>
      <c r="T174" s="219">
        <f t="shared" si="40"/>
        <v>38.11</v>
      </c>
      <c r="U174" s="235"/>
      <c r="V174" s="235"/>
      <c r="W174" s="235"/>
      <c r="X174" s="219">
        <f t="shared" si="41"/>
        <v>-299.19225212208784</v>
      </c>
      <c r="Y174" s="54"/>
      <c r="Z174" s="47"/>
      <c r="AA174" s="220">
        <f t="shared" si="42"/>
        <v>2024</v>
      </c>
      <c r="AB174" s="220">
        <f t="shared" si="42"/>
        <v>2029</v>
      </c>
      <c r="AC174" s="127"/>
    </row>
    <row r="175" spans="1:33" ht="15.75" thickBot="1" x14ac:dyDescent="0.3">
      <c r="A175" s="559"/>
      <c r="B175" s="348" t="s">
        <v>247</v>
      </c>
      <c r="C175" s="349"/>
      <c r="D175" s="350"/>
      <c r="E175" s="351" t="s">
        <v>7</v>
      </c>
      <c r="F175" s="560">
        <f>D175*1000</f>
        <v>0</v>
      </c>
      <c r="G175" s="353">
        <f>F175/1000</f>
        <v>0</v>
      </c>
      <c r="H175" s="354"/>
      <c r="I175" s="354"/>
      <c r="J175" s="354"/>
      <c r="K175" s="354"/>
      <c r="L175" s="354"/>
      <c r="M175" s="355"/>
      <c r="N175" s="354"/>
      <c r="O175" s="356"/>
      <c r="P175" s="356"/>
      <c r="Q175" s="356"/>
      <c r="R175" s="356"/>
      <c r="S175" s="356"/>
      <c r="T175" s="357"/>
      <c r="U175" s="356"/>
      <c r="V175" s="356"/>
      <c r="W175" s="356"/>
      <c r="X175" s="357"/>
      <c r="Y175" s="358"/>
      <c r="Z175" s="359"/>
      <c r="AA175" s="360"/>
      <c r="AB175" s="361"/>
      <c r="AC175" s="361"/>
      <c r="AD175" s="362"/>
      <c r="AE175" s="362"/>
      <c r="AF175" s="363"/>
      <c r="AG175" s="124"/>
    </row>
    <row r="176" spans="1:33" ht="15.75" thickBot="1" x14ac:dyDescent="0.3">
      <c r="A176" s="8"/>
      <c r="B176" s="610"/>
      <c r="C176" s="227"/>
      <c r="D176" s="467"/>
      <c r="E176" s="122"/>
      <c r="F176" s="7"/>
      <c r="H176" s="190"/>
      <c r="I176" s="190"/>
      <c r="J176" s="190"/>
      <c r="K176" s="190"/>
      <c r="L176" s="190"/>
      <c r="M176" s="19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</row>
    <row r="177" spans="1:33" x14ac:dyDescent="0.25">
      <c r="A177" s="405" t="s">
        <v>155</v>
      </c>
      <c r="B177" s="611"/>
      <c r="C177" s="311" t="s">
        <v>468</v>
      </c>
      <c r="D177" s="312"/>
      <c r="E177" s="313" t="s">
        <v>468</v>
      </c>
      <c r="F177" s="123"/>
      <c r="G177" s="409">
        <f>IF(E177=C177,1,F177)</f>
        <v>1</v>
      </c>
      <c r="H177" s="374"/>
      <c r="I177" s="314"/>
      <c r="J177" s="314"/>
      <c r="K177" s="374"/>
      <c r="L177" s="612"/>
      <c r="M177" s="372"/>
      <c r="N177" s="374"/>
      <c r="O177" s="314"/>
      <c r="P177" s="374"/>
      <c r="Q177" s="314"/>
      <c r="R177" s="314"/>
      <c r="S177" s="314"/>
      <c r="T177" s="372"/>
      <c r="U177" s="314"/>
      <c r="V177" s="314"/>
      <c r="W177" s="314"/>
      <c r="X177" s="372"/>
      <c r="Y177" s="428"/>
      <c r="Z177" s="429"/>
      <c r="AA177" s="428"/>
      <c r="AB177" s="429"/>
      <c r="AC177" s="429"/>
      <c r="AD177" s="123"/>
      <c r="AE177" s="123"/>
      <c r="AF177" s="123"/>
      <c r="AG177" s="123"/>
    </row>
    <row r="178" spans="1:33" x14ac:dyDescent="0.25">
      <c r="A178" s="613" t="s">
        <v>518</v>
      </c>
      <c r="B178" s="1" t="s">
        <v>156</v>
      </c>
      <c r="C178" s="233" t="s">
        <v>9</v>
      </c>
      <c r="E178" s="231" t="s">
        <v>468</v>
      </c>
      <c r="F178" s="586">
        <v>1100</v>
      </c>
      <c r="G178" s="243">
        <f>IF(E178=C178,1,F178/1000)</f>
        <v>1.1000000000000001</v>
      </c>
      <c r="H178" s="335">
        <f>0.4505*1000</f>
        <v>450.5</v>
      </c>
      <c r="I178" s="235"/>
      <c r="J178" s="235"/>
      <c r="K178" s="325">
        <v>14.13</v>
      </c>
      <c r="L178" s="326">
        <f>$L$327</f>
        <v>0.86419999999999997</v>
      </c>
      <c r="M178" s="251"/>
      <c r="N178" s="250"/>
      <c r="O178" s="235"/>
      <c r="P178" s="415">
        <f t="shared" ref="P178:P179" si="43">H178+K178+L178+T178+IF($X$1="included",X178,0)</f>
        <v>508.91219999999998</v>
      </c>
      <c r="Q178" s="235"/>
      <c r="R178" s="235"/>
      <c r="S178" s="235"/>
      <c r="T178" s="198">
        <f>(0.004978+0.03844)*1000</f>
        <v>43.417999999999999</v>
      </c>
      <c r="U178" s="235"/>
      <c r="V178" s="235"/>
      <c r="W178" s="235"/>
      <c r="X178" s="237">
        <f>ModulCD!$O$9*1000</f>
        <v>-112.51534784987172</v>
      </c>
      <c r="Y178" s="238">
        <v>0</v>
      </c>
      <c r="Z178" s="127"/>
      <c r="AA178" s="254">
        <v>2023</v>
      </c>
      <c r="AB178" s="255">
        <v>2026</v>
      </c>
      <c r="AC178" s="282"/>
      <c r="AF178" s="274" t="s">
        <v>679</v>
      </c>
      <c r="AG178" s="217"/>
    </row>
    <row r="179" spans="1:33" x14ac:dyDescent="0.25">
      <c r="A179" s="870"/>
      <c r="B179" s="590" t="s">
        <v>157</v>
      </c>
      <c r="C179" s="591" t="s">
        <v>9</v>
      </c>
      <c r="D179" s="592"/>
      <c r="E179" s="450" t="s">
        <v>468</v>
      </c>
      <c r="F179" s="593">
        <v>1207.5</v>
      </c>
      <c r="G179" s="594">
        <f>IF(E179=C179,1,F179/1000)</f>
        <v>1.2075</v>
      </c>
      <c r="H179" s="595">
        <f>0.8554*1000</f>
        <v>855.40000000000009</v>
      </c>
      <c r="I179" s="519"/>
      <c r="J179" s="519"/>
      <c r="K179" s="596">
        <v>14.13</v>
      </c>
      <c r="L179" s="597">
        <f>$L$327</f>
        <v>0.86419999999999997</v>
      </c>
      <c r="M179" s="598"/>
      <c r="N179" s="599"/>
      <c r="O179" s="519"/>
      <c r="P179" s="600">
        <f t="shared" si="43"/>
        <v>913.81220000000008</v>
      </c>
      <c r="Q179" s="519"/>
      <c r="R179" s="519"/>
      <c r="S179" s="519"/>
      <c r="T179" s="601">
        <f>(0.004978+0.03844)*1000</f>
        <v>43.417999999999999</v>
      </c>
      <c r="U179" s="519"/>
      <c r="V179" s="519"/>
      <c r="W179" s="519"/>
      <c r="X179" s="602">
        <f>ModulCD!$O$9*1000</f>
        <v>-112.51534784987172</v>
      </c>
      <c r="Y179" s="603">
        <v>0</v>
      </c>
      <c r="Z179" s="604"/>
      <c r="AA179" s="605">
        <v>2023</v>
      </c>
      <c r="AB179" s="606">
        <v>2026</v>
      </c>
      <c r="AC179" s="607"/>
      <c r="AD179" s="463"/>
      <c r="AE179" s="463"/>
      <c r="AF179" s="608" t="s">
        <v>678</v>
      </c>
      <c r="AG179" s="609"/>
    </row>
    <row r="180" spans="1:33" x14ac:dyDescent="0.25">
      <c r="A180" s="613" t="s">
        <v>519</v>
      </c>
      <c r="B180" s="21"/>
      <c r="C180" s="233"/>
      <c r="D180" s="614"/>
      <c r="E180" s="231"/>
      <c r="F180" s="586"/>
      <c r="G180" s="243"/>
      <c r="H180" s="326"/>
      <c r="I180" s="326"/>
      <c r="J180" s="326"/>
      <c r="K180" s="326"/>
      <c r="L180" s="326"/>
      <c r="M180" s="251"/>
      <c r="N180" s="250"/>
      <c r="O180" s="326"/>
      <c r="P180" s="415"/>
      <c r="Q180" s="235"/>
      <c r="R180" s="235"/>
      <c r="S180" s="235"/>
      <c r="T180" s="219"/>
      <c r="U180" s="235"/>
      <c r="V180" s="235"/>
      <c r="W180" s="235"/>
      <c r="X180" s="219"/>
      <c r="Y180" s="238"/>
      <c r="Z180" s="127"/>
      <c r="AA180" s="114"/>
      <c r="AB180" s="127"/>
      <c r="AC180" s="127"/>
      <c r="AF180" s="274"/>
    </row>
    <row r="181" spans="1:33" x14ac:dyDescent="0.25">
      <c r="A181" s="120"/>
      <c r="B181" s="21" t="s">
        <v>513</v>
      </c>
      <c r="C181" s="233" t="s">
        <v>468</v>
      </c>
      <c r="D181" s="614">
        <v>1</v>
      </c>
      <c r="E181" s="231" t="s">
        <v>468</v>
      </c>
      <c r="F181" s="586">
        <v>1250</v>
      </c>
      <c r="G181" s="243">
        <f>D181</f>
        <v>1</v>
      </c>
      <c r="H181" s="326">
        <f>H182*2.5</f>
        <v>8.3350000000000009</v>
      </c>
      <c r="I181" s="326">
        <f t="shared" ref="I181:K181" si="44">I182*2.5</f>
        <v>0</v>
      </c>
      <c r="J181" s="326">
        <f t="shared" si="44"/>
        <v>0</v>
      </c>
      <c r="K181" s="326">
        <f t="shared" si="44"/>
        <v>0.17500000000000002</v>
      </c>
      <c r="L181" s="326">
        <f>L182*2.5</f>
        <v>6.9135999999999998E-9</v>
      </c>
      <c r="M181" s="251"/>
      <c r="N181" s="250"/>
      <c r="O181" s="326"/>
      <c r="P181" s="415">
        <f t="shared" ref="P181:P183" si="45">H181+K181+L181+T181+IF($X$1="included",X181,0)</f>
        <v>9.0109500069136015</v>
      </c>
      <c r="Q181" s="235"/>
      <c r="R181" s="235"/>
      <c r="S181" s="235"/>
      <c r="T181" s="219">
        <f t="shared" ref="T181" si="46">T182*2.5</f>
        <v>0.50095000000000001</v>
      </c>
      <c r="U181" s="235"/>
      <c r="V181" s="235"/>
      <c r="W181" s="235"/>
      <c r="X181" s="219">
        <f t="shared" ref="X181" si="47">X182*2.5</f>
        <v>-1.4064418481233965</v>
      </c>
      <c r="Y181" s="238"/>
      <c r="Z181" s="127"/>
      <c r="AA181" s="114"/>
      <c r="AB181" s="127"/>
      <c r="AC181" s="127"/>
      <c r="AF181" s="274"/>
    </row>
    <row r="182" spans="1:33" x14ac:dyDescent="0.25">
      <c r="A182" s="120"/>
      <c r="B182" s="397" t="s">
        <v>514</v>
      </c>
      <c r="C182" s="233" t="s">
        <v>468</v>
      </c>
      <c r="D182" s="614">
        <v>0.4</v>
      </c>
      <c r="E182" s="231" t="s">
        <v>468</v>
      </c>
      <c r="F182" s="586">
        <v>1250</v>
      </c>
      <c r="G182" s="243">
        <f>D182</f>
        <v>0.4</v>
      </c>
      <c r="H182" s="414">
        <v>3.3340000000000001</v>
      </c>
      <c r="I182" s="235"/>
      <c r="J182" s="235"/>
      <c r="K182" s="444">
        <v>7.0000000000000007E-2</v>
      </c>
      <c r="L182" s="328">
        <f>0.00000000276544</f>
        <v>2.7654399999999999E-9</v>
      </c>
      <c r="M182" s="251"/>
      <c r="N182" s="250"/>
      <c r="O182" s="235"/>
      <c r="P182" s="415">
        <f t="shared" si="45"/>
        <v>3.6043800027654398</v>
      </c>
      <c r="Q182" s="235"/>
      <c r="R182" s="235"/>
      <c r="S182" s="235"/>
      <c r="T182" s="215">
        <f>0.02298+0.1774</f>
        <v>0.20038</v>
      </c>
      <c r="U182" s="235"/>
      <c r="V182" s="235"/>
      <c r="W182" s="235"/>
      <c r="X182" s="237">
        <f>ModulCD!$O$9*F182*0.004</f>
        <v>-0.56257673924935858</v>
      </c>
      <c r="Y182" s="253">
        <v>0</v>
      </c>
      <c r="Z182" s="127"/>
      <c r="AA182" s="254">
        <v>2023</v>
      </c>
      <c r="AB182" s="255">
        <v>2026</v>
      </c>
      <c r="AC182" s="282"/>
      <c r="AF182" s="240" t="s">
        <v>680</v>
      </c>
      <c r="AG182" s="217"/>
    </row>
    <row r="183" spans="1:33" x14ac:dyDescent="0.25">
      <c r="A183" s="120"/>
      <c r="B183" s="1" t="s">
        <v>158</v>
      </c>
      <c r="C183" s="233" t="s">
        <v>9</v>
      </c>
      <c r="E183" s="231" t="s">
        <v>468</v>
      </c>
      <c r="F183" s="586">
        <v>1100</v>
      </c>
      <c r="G183" s="243">
        <f>IF(E183=C183,1,F183/1000)</f>
        <v>1.1000000000000001</v>
      </c>
      <c r="H183" s="414">
        <f>0.88*1000</f>
        <v>880</v>
      </c>
      <c r="I183" s="235"/>
      <c r="J183" s="235"/>
      <c r="K183" s="325">
        <v>14.13</v>
      </c>
      <c r="L183" s="326">
        <f>$L$327</f>
        <v>0.86419999999999997</v>
      </c>
      <c r="M183" s="251"/>
      <c r="N183" s="250"/>
      <c r="O183" s="235"/>
      <c r="P183" s="415">
        <f t="shared" si="45"/>
        <v>3264.9942000000001</v>
      </c>
      <c r="Q183" s="235"/>
      <c r="R183" s="235"/>
      <c r="S183" s="235"/>
      <c r="T183" s="198">
        <f>2.37*1000</f>
        <v>2370</v>
      </c>
      <c r="U183" s="235"/>
      <c r="V183" s="235"/>
      <c r="W183" s="235"/>
      <c r="X183" s="237">
        <f>ModulCD!$O$9*1000</f>
        <v>-112.51534784987172</v>
      </c>
      <c r="Y183" s="253">
        <v>0</v>
      </c>
      <c r="Z183" s="127"/>
      <c r="AA183" s="254"/>
      <c r="AB183" s="255"/>
      <c r="AC183" s="282"/>
      <c r="AF183" s="431" t="s">
        <v>554</v>
      </c>
    </row>
    <row r="184" spans="1:33" s="20" customFormat="1" ht="15.75" thickBot="1" x14ac:dyDescent="0.3">
      <c r="A184" s="347"/>
      <c r="B184" s="348" t="s">
        <v>248</v>
      </c>
      <c r="C184" s="349"/>
      <c r="D184" s="350"/>
      <c r="E184" s="351" t="s">
        <v>468</v>
      </c>
      <c r="F184" s="352">
        <f>D184</f>
        <v>0</v>
      </c>
      <c r="G184" s="353">
        <f>D184</f>
        <v>0</v>
      </c>
      <c r="H184" s="354"/>
      <c r="I184" s="354"/>
      <c r="J184" s="354"/>
      <c r="K184" s="354"/>
      <c r="L184" s="354"/>
      <c r="M184" s="355"/>
      <c r="N184" s="354"/>
      <c r="O184" s="356"/>
      <c r="P184" s="356"/>
      <c r="Q184" s="356"/>
      <c r="R184" s="356"/>
      <c r="S184" s="356"/>
      <c r="T184" s="615"/>
      <c r="U184" s="356"/>
      <c r="V184" s="356"/>
      <c r="W184" s="356"/>
      <c r="X184" s="357"/>
      <c r="Y184" s="358"/>
      <c r="Z184" s="359"/>
      <c r="AA184" s="360"/>
      <c r="AB184" s="361"/>
      <c r="AC184" s="616"/>
      <c r="AD184" s="362"/>
      <c r="AE184" s="362"/>
      <c r="AF184" s="363"/>
      <c r="AG184" s="617"/>
    </row>
    <row r="185" spans="1:33" s="20" customFormat="1" ht="15.75" thickBot="1" x14ac:dyDescent="0.3">
      <c r="B185" s="589"/>
      <c r="C185" s="618"/>
      <c r="D185" s="618"/>
      <c r="E185" s="618"/>
      <c r="H185" s="619"/>
      <c r="I185" s="619"/>
      <c r="J185" s="619"/>
      <c r="K185" s="619"/>
      <c r="L185" s="619"/>
      <c r="M185" s="619"/>
      <c r="N185" s="619"/>
      <c r="O185" s="619"/>
      <c r="P185" s="619"/>
      <c r="Q185" s="619"/>
      <c r="R185" s="619"/>
      <c r="S185" s="619"/>
      <c r="T185" s="524"/>
      <c r="U185" s="619"/>
      <c r="V185" s="619"/>
      <c r="W185" s="619"/>
      <c r="X185" s="619"/>
      <c r="AF185" s="620"/>
    </row>
    <row r="186" spans="1:33" x14ac:dyDescent="0.25">
      <c r="A186" s="405" t="s">
        <v>159</v>
      </c>
      <c r="B186" s="406"/>
      <c r="C186" s="621" t="s">
        <v>7</v>
      </c>
      <c r="D186" s="312"/>
      <c r="E186" s="313"/>
      <c r="F186" s="123"/>
      <c r="G186" s="409"/>
      <c r="H186" s="374"/>
      <c r="I186" s="314"/>
      <c r="J186" s="314"/>
      <c r="K186" s="374"/>
      <c r="L186" s="374"/>
      <c r="M186" s="372"/>
      <c r="N186" s="374"/>
      <c r="O186" s="314"/>
      <c r="P186" s="374"/>
      <c r="Q186" s="314"/>
      <c r="R186" s="314"/>
      <c r="S186" s="314"/>
      <c r="T186" s="372"/>
      <c r="U186" s="314"/>
      <c r="V186" s="314"/>
      <c r="W186" s="314"/>
      <c r="X186" s="372"/>
      <c r="Y186" s="428"/>
      <c r="Z186" s="429"/>
      <c r="AA186" s="428"/>
      <c r="AB186" s="429"/>
      <c r="AC186" s="429"/>
      <c r="AD186" s="123" t="s">
        <v>160</v>
      </c>
      <c r="AE186" s="321" t="s">
        <v>161</v>
      </c>
      <c r="AF186" s="123"/>
      <c r="AG186" s="123"/>
    </row>
    <row r="187" spans="1:33" hidden="1" outlineLevel="1" x14ac:dyDescent="0.25">
      <c r="A187" s="329"/>
      <c r="B187" s="16" t="s">
        <v>162</v>
      </c>
      <c r="C187" s="164" t="s">
        <v>138</v>
      </c>
      <c r="D187" s="225" t="s">
        <v>163</v>
      </c>
      <c r="E187" s="173" t="s">
        <v>7</v>
      </c>
      <c r="F187" s="558">
        <v>2.5</v>
      </c>
      <c r="G187" s="93">
        <f>F187</f>
        <v>2.5</v>
      </c>
      <c r="H187" s="335">
        <f>1650/1000</f>
        <v>1.65</v>
      </c>
      <c r="I187" s="336"/>
      <c r="J187" s="336"/>
      <c r="K187" s="335">
        <v>0.19700000000000001</v>
      </c>
      <c r="L187" s="335">
        <v>7.1800000000000003E-2</v>
      </c>
      <c r="M187" s="207"/>
      <c r="N187" s="524"/>
      <c r="O187" s="336"/>
      <c r="P187" s="524"/>
      <c r="Q187" s="336"/>
      <c r="R187" s="336"/>
      <c r="S187" s="336"/>
      <c r="T187" s="198">
        <f>(71.8+21.5+389)/1000</f>
        <v>0.48230000000000001</v>
      </c>
      <c r="U187" s="336"/>
      <c r="V187" s="336"/>
      <c r="W187" s="336"/>
      <c r="X187" s="40">
        <f>ModulCD!$O$11</f>
        <v>0</v>
      </c>
      <c r="Y187" s="54">
        <v>0</v>
      </c>
      <c r="Z187" s="127"/>
      <c r="AA187" s="254">
        <v>2020</v>
      </c>
      <c r="AB187" s="255">
        <v>2025</v>
      </c>
      <c r="AC187" s="127"/>
      <c r="AF187" s="218" t="s">
        <v>494</v>
      </c>
      <c r="AG187" s="217"/>
    </row>
    <row r="188" spans="1:33" hidden="1" outlineLevel="1" x14ac:dyDescent="0.25">
      <c r="A188" s="329"/>
      <c r="B188" s="16" t="s">
        <v>164</v>
      </c>
      <c r="C188" s="164" t="s">
        <v>138</v>
      </c>
      <c r="D188" s="225" t="s">
        <v>163</v>
      </c>
      <c r="E188" s="173" t="s">
        <v>7</v>
      </c>
      <c r="F188" s="558">
        <v>2.5</v>
      </c>
      <c r="G188" s="93">
        <f t="shared" ref="G188:G194" si="48">F188</f>
        <v>2.5</v>
      </c>
      <c r="H188" s="335">
        <f>(1.56+0.126+0.143)</f>
        <v>1.829</v>
      </c>
      <c r="I188" s="336"/>
      <c r="J188" s="336"/>
      <c r="K188" s="524"/>
      <c r="L188" s="524"/>
      <c r="M188" s="207"/>
      <c r="N188" s="524"/>
      <c r="O188" s="336"/>
      <c r="P188" s="524"/>
      <c r="Q188" s="336"/>
      <c r="R188" s="336"/>
      <c r="S188" s="336"/>
      <c r="T188" s="199">
        <f>T187</f>
        <v>0.48230000000000001</v>
      </c>
      <c r="U188" s="336"/>
      <c r="V188" s="336"/>
      <c r="W188" s="336"/>
      <c r="X188" s="40">
        <f>ModulCD!$O$11</f>
        <v>0</v>
      </c>
      <c r="Y188" s="54">
        <v>0</v>
      </c>
      <c r="Z188" s="127"/>
      <c r="AA188" s="254">
        <v>2015</v>
      </c>
      <c r="AB188" s="255">
        <v>2020</v>
      </c>
      <c r="AC188" s="127"/>
      <c r="AF188" s="240" t="s">
        <v>165</v>
      </c>
      <c r="AG188" s="217"/>
    </row>
    <row r="189" spans="1:33" hidden="1" outlineLevel="1" x14ac:dyDescent="0.25">
      <c r="A189" s="329"/>
      <c r="B189" s="16"/>
      <c r="C189" s="164"/>
      <c r="D189" s="225"/>
      <c r="E189" s="173"/>
      <c r="F189" s="558"/>
      <c r="G189" s="93"/>
      <c r="H189" s="524"/>
      <c r="I189" s="524"/>
      <c r="J189" s="524"/>
      <c r="K189" s="524"/>
      <c r="L189" s="524"/>
      <c r="M189" s="207"/>
      <c r="N189" s="524"/>
      <c r="O189" s="524"/>
      <c r="P189" s="524"/>
      <c r="Q189" s="524"/>
      <c r="R189" s="524"/>
      <c r="S189" s="524"/>
      <c r="T189" s="207"/>
      <c r="U189" s="524"/>
      <c r="V189" s="524"/>
      <c r="W189" s="524"/>
      <c r="X189" s="207"/>
      <c r="Y189" s="54"/>
      <c r="Z189" s="127"/>
      <c r="AA189" s="114"/>
      <c r="AB189" s="127"/>
      <c r="AC189" s="127"/>
      <c r="AF189" s="240"/>
    </row>
    <row r="190" spans="1:33" collapsed="1" x14ac:dyDescent="0.25">
      <c r="A190" s="120" t="s">
        <v>517</v>
      </c>
      <c r="B190" s="1" t="s">
        <v>237</v>
      </c>
      <c r="C190" s="233" t="s">
        <v>106</v>
      </c>
      <c r="D190" s="122" t="s">
        <v>163</v>
      </c>
      <c r="E190" s="231" t="s">
        <v>7</v>
      </c>
      <c r="F190" s="558">
        <v>2.5</v>
      </c>
      <c r="G190" s="93">
        <f t="shared" si="48"/>
        <v>2.5</v>
      </c>
      <c r="H190" s="335">
        <v>1.758</v>
      </c>
      <c r="I190" s="336"/>
      <c r="J190" s="336"/>
      <c r="K190" s="337">
        <v>1.4E-2</v>
      </c>
      <c r="L190" s="336">
        <v>7.1800000000000003E-2</v>
      </c>
      <c r="M190" s="207"/>
      <c r="N190" s="524">
        <f>P190</f>
        <v>2.452261</v>
      </c>
      <c r="O190" s="336"/>
      <c r="P190" s="622">
        <f>H190+K190+L190+T190+IF($X$1="included",X190,0)</f>
        <v>2.452261</v>
      </c>
      <c r="Q190" s="336"/>
      <c r="R190" s="336"/>
      <c r="S190" s="336"/>
      <c r="T190" s="215">
        <f>0.001761+0.6067</f>
        <v>0.60846100000000003</v>
      </c>
      <c r="U190" s="336"/>
      <c r="V190" s="336"/>
      <c r="W190" s="336"/>
      <c r="X190" s="40">
        <f>ModulCD!$O$11</f>
        <v>0</v>
      </c>
      <c r="Y190" s="54">
        <v>0</v>
      </c>
      <c r="Z190" s="127"/>
      <c r="AA190" s="254">
        <v>2023</v>
      </c>
      <c r="AB190" s="255">
        <v>2026</v>
      </c>
      <c r="AC190" s="266" t="s">
        <v>701</v>
      </c>
      <c r="AE190" s="146"/>
      <c r="AF190" s="240" t="s">
        <v>696</v>
      </c>
    </row>
    <row r="191" spans="1:33" x14ac:dyDescent="0.25">
      <c r="A191" s="120"/>
      <c r="B191" s="1" t="s">
        <v>166</v>
      </c>
      <c r="C191" s="165" t="s">
        <v>106</v>
      </c>
      <c r="D191" s="122" t="s">
        <v>163</v>
      </c>
      <c r="E191" s="231" t="s">
        <v>7</v>
      </c>
      <c r="F191" s="558">
        <v>2.5</v>
      </c>
      <c r="G191" s="93">
        <f t="shared" si="48"/>
        <v>2.5</v>
      </c>
      <c r="H191" s="335">
        <v>2.3250000000000002</v>
      </c>
      <c r="I191" s="336"/>
      <c r="J191" s="336"/>
      <c r="K191" s="337">
        <v>1.4E-2</v>
      </c>
      <c r="L191" s="338">
        <f t="shared" ref="L191:L194" si="49">$L$187</f>
        <v>7.1800000000000003E-2</v>
      </c>
      <c r="M191" s="207"/>
      <c r="N191" s="524">
        <f>P191</f>
        <v>5.866206</v>
      </c>
      <c r="O191" s="336"/>
      <c r="P191" s="622">
        <f>H191+K191+L191+T191+IF($X$1="included",X191,0)</f>
        <v>5.866206</v>
      </c>
      <c r="Q191" s="336"/>
      <c r="R191" s="336"/>
      <c r="S191" s="336"/>
      <c r="T191" s="215">
        <f>0.003406+3.452</f>
        <v>3.455406</v>
      </c>
      <c r="U191" s="336"/>
      <c r="V191" s="336"/>
      <c r="W191" s="336"/>
      <c r="X191" s="40">
        <f>ModulCD!$O$12</f>
        <v>-1.4829033203776061</v>
      </c>
      <c r="Y191" s="54">
        <v>0</v>
      </c>
      <c r="Z191" s="248"/>
      <c r="AA191" s="254">
        <v>2023</v>
      </c>
      <c r="AB191" s="255">
        <v>2026</v>
      </c>
      <c r="AC191" s="266" t="s">
        <v>555</v>
      </c>
      <c r="AD191" t="s">
        <v>167</v>
      </c>
      <c r="AF191" s="218" t="s">
        <v>697</v>
      </c>
      <c r="AG191" s="217"/>
    </row>
    <row r="192" spans="1:33" x14ac:dyDescent="0.25">
      <c r="A192" s="120"/>
      <c r="B192" s="1" t="s">
        <v>168</v>
      </c>
      <c r="C192" s="165" t="s">
        <v>106</v>
      </c>
      <c r="D192" s="122" t="s">
        <v>163</v>
      </c>
      <c r="E192" s="231" t="s">
        <v>7</v>
      </c>
      <c r="F192" s="558">
        <v>1.5</v>
      </c>
      <c r="G192" s="93">
        <f t="shared" si="48"/>
        <v>1.5</v>
      </c>
      <c r="H192" s="335">
        <v>2.7989999999999999</v>
      </c>
      <c r="I192" s="336"/>
      <c r="J192" s="336"/>
      <c r="K192" s="337">
        <v>1.4E-2</v>
      </c>
      <c r="L192" s="338">
        <f t="shared" si="49"/>
        <v>7.1800000000000003E-2</v>
      </c>
      <c r="M192" s="207"/>
      <c r="N192" s="524">
        <f t="shared" ref="N192:N194" si="50">P192</f>
        <v>6.3410599999999997</v>
      </c>
      <c r="O192" s="336"/>
      <c r="P192" s="622">
        <f>H192+K192+L192+T192+IF($X$1="included",X192,0)</f>
        <v>6.3410599999999997</v>
      </c>
      <c r="Q192" s="336"/>
      <c r="R192" s="336"/>
      <c r="S192" s="336"/>
      <c r="T192" s="215">
        <f>0.00426+3.452</f>
        <v>3.4562599999999999</v>
      </c>
      <c r="U192" s="336"/>
      <c r="V192" s="336"/>
      <c r="W192" s="336"/>
      <c r="X192" s="40">
        <f>ModulCD!$O$12</f>
        <v>-1.4829033203776061</v>
      </c>
      <c r="Y192" s="54">
        <v>0</v>
      </c>
      <c r="Z192" s="127"/>
      <c r="AA192" s="254">
        <v>2023</v>
      </c>
      <c r="AB192" s="255">
        <v>2026</v>
      </c>
      <c r="AC192" s="266" t="s">
        <v>555</v>
      </c>
      <c r="AF192" s="240" t="s">
        <v>698</v>
      </c>
      <c r="AG192" s="217"/>
    </row>
    <row r="193" spans="1:35" x14ac:dyDescent="0.25">
      <c r="A193" s="120"/>
      <c r="B193" s="1" t="s">
        <v>258</v>
      </c>
      <c r="C193" s="165" t="s">
        <v>106</v>
      </c>
      <c r="D193" s="122" t="s">
        <v>163</v>
      </c>
      <c r="E193" s="231" t="s">
        <v>7</v>
      </c>
      <c r="F193" s="558">
        <v>8</v>
      </c>
      <c r="G193" s="93">
        <f t="shared" si="48"/>
        <v>8</v>
      </c>
      <c r="H193" s="335">
        <v>3.6539999999999999</v>
      </c>
      <c r="I193" s="336"/>
      <c r="J193" s="336"/>
      <c r="K193" s="337">
        <v>1.4E-2</v>
      </c>
      <c r="L193" s="338">
        <f t="shared" si="49"/>
        <v>7.1800000000000003E-2</v>
      </c>
      <c r="M193" s="207"/>
      <c r="N193" s="524">
        <f t="shared" si="50"/>
        <v>3.7432059999999998</v>
      </c>
      <c r="O193" s="336"/>
      <c r="P193" s="622">
        <f>H193+K193+L193+T193+IF($X$1="included",X193,0)</f>
        <v>3.7432059999999998</v>
      </c>
      <c r="Q193" s="336"/>
      <c r="R193" s="336"/>
      <c r="S193" s="336"/>
      <c r="T193" s="198">
        <v>3.4060000000000002E-3</v>
      </c>
      <c r="U193" s="336"/>
      <c r="V193" s="336"/>
      <c r="W193" s="336"/>
      <c r="X193" s="40">
        <f>IF((Z193-Y193)&lt;0,(Z193-Y193)*-ModulCD!$B$44,(Z193-Y193)*ModulCD!$O$5)</f>
        <v>7.7000000000000013E-2</v>
      </c>
      <c r="Y193" s="54">
        <v>1</v>
      </c>
      <c r="Z193" s="71">
        <v>0.86</v>
      </c>
      <c r="AA193" s="254">
        <v>2023</v>
      </c>
      <c r="AB193" s="255">
        <v>2026</v>
      </c>
      <c r="AC193" s="266" t="s">
        <v>555</v>
      </c>
      <c r="AF193" s="240" t="s">
        <v>699</v>
      </c>
      <c r="AG193" s="217"/>
    </row>
    <row r="194" spans="1:35" x14ac:dyDescent="0.25">
      <c r="A194" s="120"/>
      <c r="B194" s="1" t="s">
        <v>169</v>
      </c>
      <c r="C194" s="165" t="s">
        <v>106</v>
      </c>
      <c r="D194" s="122" t="s">
        <v>163</v>
      </c>
      <c r="E194" s="231" t="s">
        <v>7</v>
      </c>
      <c r="F194" s="558">
        <v>1.2</v>
      </c>
      <c r="G194" s="93">
        <f t="shared" si="48"/>
        <v>1.2</v>
      </c>
      <c r="H194" s="335">
        <v>2.39</v>
      </c>
      <c r="I194" s="336"/>
      <c r="J194" s="336"/>
      <c r="K194" s="337">
        <v>1.4E-2</v>
      </c>
      <c r="L194" s="338">
        <f t="shared" si="49"/>
        <v>7.1800000000000003E-2</v>
      </c>
      <c r="M194" s="207"/>
      <c r="N194" s="524">
        <f t="shared" si="50"/>
        <v>4.7340599999999995</v>
      </c>
      <c r="O194" s="336"/>
      <c r="P194" s="622">
        <f>H194+K194+L194+T194+IF($X$1="included",X194,0)</f>
        <v>4.7340599999999995</v>
      </c>
      <c r="Q194" s="336"/>
      <c r="R194" s="336"/>
      <c r="S194" s="336"/>
      <c r="T194" s="198">
        <f>0.00426+2.254</f>
        <v>2.2582599999999999</v>
      </c>
      <c r="U194" s="336"/>
      <c r="V194" s="336"/>
      <c r="W194" s="336"/>
      <c r="X194" s="40">
        <f>ModulCD!$O$12</f>
        <v>-1.4829033203776061</v>
      </c>
      <c r="Y194" s="54">
        <v>0</v>
      </c>
      <c r="Z194" s="127"/>
      <c r="AA194" s="254">
        <v>2023</v>
      </c>
      <c r="AB194" s="255">
        <v>2026</v>
      </c>
      <c r="AC194" s="266" t="s">
        <v>555</v>
      </c>
      <c r="AF194" s="240" t="s">
        <v>700</v>
      </c>
      <c r="AG194" s="217"/>
    </row>
    <row r="195" spans="1:35" x14ac:dyDescent="0.25">
      <c r="A195" s="627"/>
      <c r="B195" s="447" t="s">
        <v>249</v>
      </c>
      <c r="C195" s="448"/>
      <c r="D195" s="449"/>
      <c r="E195" s="450" t="s">
        <v>7</v>
      </c>
      <c r="F195" s="628">
        <f>D195</f>
        <v>0</v>
      </c>
      <c r="G195" s="452">
        <f>F195</f>
        <v>0</v>
      </c>
      <c r="H195" s="453"/>
      <c r="I195" s="453"/>
      <c r="J195" s="453"/>
      <c r="K195" s="453"/>
      <c r="L195" s="453"/>
      <c r="M195" s="454"/>
      <c r="N195" s="453"/>
      <c r="O195" s="455"/>
      <c r="P195" s="455"/>
      <c r="Q195" s="455"/>
      <c r="R195" s="455"/>
      <c r="S195" s="455"/>
      <c r="T195" s="456"/>
      <c r="U195" s="455"/>
      <c r="V195" s="455"/>
      <c r="W195" s="455"/>
      <c r="X195" s="456"/>
      <c r="Y195" s="457"/>
      <c r="Z195" s="458"/>
      <c r="AA195" s="459"/>
      <c r="AB195" s="460"/>
      <c r="AC195" s="629"/>
      <c r="AD195" s="461"/>
      <c r="AE195" s="461"/>
      <c r="AF195" s="462"/>
      <c r="AG195" s="463"/>
    </row>
    <row r="196" spans="1:35" s="143" customFormat="1" ht="15.75" thickBot="1" x14ac:dyDescent="0.3">
      <c r="A196" s="121" t="s">
        <v>170</v>
      </c>
      <c r="B196" s="624"/>
      <c r="C196" s="625" t="s">
        <v>19</v>
      </c>
      <c r="D196" s="626"/>
      <c r="E196" s="351" t="s">
        <v>19</v>
      </c>
      <c r="F196" s="124"/>
      <c r="G196" s="353"/>
      <c r="H196" s="928" t="s">
        <v>171</v>
      </c>
      <c r="I196" s="929"/>
      <c r="J196" s="929"/>
      <c r="K196" s="929"/>
      <c r="L196" s="930"/>
      <c r="M196" s="722"/>
      <c r="N196" s="720"/>
      <c r="O196" s="720"/>
      <c r="P196" s="720"/>
      <c r="Q196" s="720"/>
      <c r="R196" s="720"/>
      <c r="S196" s="720"/>
      <c r="T196" s="722"/>
      <c r="U196" s="720"/>
      <c r="V196" s="720"/>
      <c r="W196" s="720"/>
      <c r="X196" s="722"/>
      <c r="Y196" s="773"/>
      <c r="Z196" s="774"/>
      <c r="AA196" s="773"/>
      <c r="AB196" s="774"/>
      <c r="AC196" s="774"/>
      <c r="AD196" s="124"/>
      <c r="AE196" s="124"/>
      <c r="AF196" s="124"/>
      <c r="AG196" s="124"/>
      <c r="AH196"/>
      <c r="AI196"/>
    </row>
    <row r="197" spans="1:35" ht="15.75" thickBot="1" x14ac:dyDescent="0.3">
      <c r="B197" s="1"/>
      <c r="C197" s="122"/>
      <c r="E197" s="122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AF197" s="274"/>
    </row>
    <row r="198" spans="1:35" x14ac:dyDescent="0.25">
      <c r="A198" s="405" t="s">
        <v>172</v>
      </c>
      <c r="B198" s="406"/>
      <c r="C198" s="311"/>
      <c r="D198" s="312"/>
      <c r="E198" s="313"/>
      <c r="F198" s="123"/>
      <c r="G198" s="409"/>
      <c r="H198" s="374"/>
      <c r="I198" s="314"/>
      <c r="J198" s="314"/>
      <c r="K198" s="374"/>
      <c r="L198" s="374"/>
      <c r="M198" s="372"/>
      <c r="N198" s="374"/>
      <c r="O198" s="314"/>
      <c r="P198" s="374"/>
      <c r="Q198" s="314"/>
      <c r="R198" s="314"/>
      <c r="S198" s="314"/>
      <c r="T198" s="372"/>
      <c r="U198" s="314"/>
      <c r="V198" s="314"/>
      <c r="W198" s="314"/>
      <c r="X198" s="372"/>
      <c r="Y198" s="428"/>
      <c r="Z198" s="429"/>
      <c r="AA198" s="428"/>
      <c r="AB198" s="429"/>
      <c r="AC198" s="429"/>
      <c r="AD198" s="123"/>
      <c r="AE198" s="123"/>
      <c r="AF198" s="123"/>
      <c r="AG198" s="123"/>
    </row>
    <row r="199" spans="1:35" x14ac:dyDescent="0.25">
      <c r="A199" s="417" t="s">
        <v>173</v>
      </c>
      <c r="B199" s="1" t="s">
        <v>174</v>
      </c>
      <c r="C199" s="233"/>
      <c r="E199" s="231"/>
      <c r="G199" s="243"/>
      <c r="H199" s="912" t="s">
        <v>175</v>
      </c>
      <c r="I199" s="913"/>
      <c r="J199" s="913"/>
      <c r="K199" s="913"/>
      <c r="L199" s="914"/>
      <c r="M199" s="236"/>
      <c r="N199" s="326"/>
      <c r="O199" s="326"/>
      <c r="P199" s="326"/>
      <c r="Q199" s="326"/>
      <c r="R199" s="326"/>
      <c r="S199" s="326"/>
      <c r="T199" s="236"/>
      <c r="U199" s="326"/>
      <c r="V199" s="326"/>
      <c r="W199" s="326"/>
      <c r="X199" s="236"/>
      <c r="Y199" s="272"/>
      <c r="Z199" s="273"/>
      <c r="AA199" s="272"/>
      <c r="AB199" s="273"/>
      <c r="AC199" s="273"/>
    </row>
    <row r="200" spans="1:35" ht="15.75" thickBot="1" x14ac:dyDescent="0.3">
      <c r="A200" s="632" t="s">
        <v>173</v>
      </c>
      <c r="B200" s="624" t="s">
        <v>176</v>
      </c>
      <c r="C200" s="625"/>
      <c r="D200" s="626"/>
      <c r="E200" s="351"/>
      <c r="F200" s="124"/>
      <c r="G200" s="353"/>
      <c r="H200" s="915" t="s">
        <v>177</v>
      </c>
      <c r="I200" s="916"/>
      <c r="J200" s="916"/>
      <c r="K200" s="916"/>
      <c r="L200" s="917"/>
      <c r="M200" s="722"/>
      <c r="N200" s="720"/>
      <c r="O200" s="720"/>
      <c r="P200" s="720"/>
      <c r="Q200" s="720"/>
      <c r="R200" s="720"/>
      <c r="S200" s="720"/>
      <c r="T200" s="722"/>
      <c r="U200" s="720"/>
      <c r="V200" s="720"/>
      <c r="W200" s="720"/>
      <c r="X200" s="722"/>
      <c r="Y200" s="773"/>
      <c r="Z200" s="774"/>
      <c r="AA200" s="773"/>
      <c r="AB200" s="774"/>
      <c r="AC200" s="774"/>
      <c r="AD200" s="124"/>
      <c r="AE200" s="124"/>
      <c r="AF200" s="124"/>
      <c r="AG200" s="124"/>
    </row>
    <row r="201" spans="1:35" x14ac:dyDescent="0.25">
      <c r="A201" s="1"/>
      <c r="B201" s="1"/>
      <c r="C201" s="122"/>
      <c r="E201" s="122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250"/>
      <c r="X201" s="250"/>
    </row>
    <row r="202" spans="1:35" s="1" customFormat="1" ht="18.75" x14ac:dyDescent="0.3">
      <c r="A202" s="30" t="s">
        <v>178</v>
      </c>
      <c r="C202" s="122"/>
      <c r="D202" s="630"/>
      <c r="E202" s="122"/>
      <c r="F202"/>
      <c r="H202" s="250"/>
      <c r="I202" s="250"/>
      <c r="J202" s="250"/>
      <c r="K202" s="250"/>
      <c r="L202" s="250"/>
      <c r="M202" s="631"/>
      <c r="N202" s="631"/>
      <c r="O202" s="631"/>
      <c r="P202" s="631"/>
      <c r="Q202" s="631"/>
      <c r="R202" s="631"/>
      <c r="S202" s="250"/>
      <c r="T202" s="250"/>
      <c r="U202" s="250"/>
      <c r="V202" s="250"/>
      <c r="W202" s="250"/>
      <c r="X202" s="250"/>
      <c r="AA202"/>
      <c r="AB202"/>
    </row>
    <row r="203" spans="1:35" ht="15.75" thickBot="1" x14ac:dyDescent="0.3">
      <c r="A203" s="1"/>
      <c r="B203" s="1"/>
      <c r="C203" s="122"/>
      <c r="E203" s="122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250"/>
      <c r="X203" s="250"/>
    </row>
    <row r="204" spans="1:35" x14ac:dyDescent="0.25">
      <c r="A204" s="405" t="s">
        <v>179</v>
      </c>
      <c r="B204" s="636" t="s">
        <v>363</v>
      </c>
      <c r="C204" s="311"/>
      <c r="D204" s="312"/>
      <c r="E204" s="313"/>
      <c r="F204" s="123"/>
      <c r="G204" s="409"/>
      <c r="H204" s="374"/>
      <c r="I204" s="314"/>
      <c r="J204" s="314"/>
      <c r="K204" s="374"/>
      <c r="L204" s="374"/>
      <c r="M204" s="372"/>
      <c r="N204" s="374"/>
      <c r="O204" s="314"/>
      <c r="P204" s="374"/>
      <c r="Q204" s="314"/>
      <c r="R204" s="314"/>
      <c r="S204" s="314"/>
      <c r="T204" s="372"/>
      <c r="U204" s="314"/>
      <c r="V204" s="314"/>
      <c r="W204" s="314"/>
      <c r="X204" s="372"/>
      <c r="Y204" s="428"/>
      <c r="Z204" s="429"/>
      <c r="AA204" s="428"/>
      <c r="AB204" s="429"/>
      <c r="AC204" s="429"/>
      <c r="AD204" s="123" t="s">
        <v>180</v>
      </c>
      <c r="AE204" s="123"/>
      <c r="AF204" s="123"/>
      <c r="AG204" s="123"/>
    </row>
    <row r="205" spans="1:35" x14ac:dyDescent="0.25">
      <c r="A205" s="417"/>
      <c r="B205" s="1" t="s">
        <v>181</v>
      </c>
      <c r="C205" s="233" t="s">
        <v>106</v>
      </c>
      <c r="D205" s="122" t="s">
        <v>182</v>
      </c>
      <c r="E205" s="231" t="s">
        <v>7</v>
      </c>
      <c r="F205" s="586">
        <v>7850</v>
      </c>
      <c r="G205" s="234">
        <f>F205</f>
        <v>7850</v>
      </c>
      <c r="H205" s="637">
        <f>H277/1000</f>
        <v>0.78900000000000003</v>
      </c>
      <c r="I205" s="235"/>
      <c r="J205" s="235"/>
      <c r="K205" s="325">
        <v>2.1999999999999999E-2</v>
      </c>
      <c r="L205" s="638">
        <v>1.2199999999999999E-2</v>
      </c>
      <c r="M205" s="251"/>
      <c r="N205" s="250"/>
      <c r="O205" s="235"/>
      <c r="P205" s="250"/>
      <c r="Q205" s="235"/>
      <c r="R205" s="235"/>
      <c r="S205" s="235"/>
      <c r="T205" s="251"/>
      <c r="U205" s="235"/>
      <c r="V205" s="235"/>
      <c r="W205" s="235"/>
      <c r="X205" s="251"/>
      <c r="Y205" s="114"/>
      <c r="Z205" s="127"/>
      <c r="AA205" s="114"/>
      <c r="AB205" s="127"/>
      <c r="AC205" s="127" t="s">
        <v>579</v>
      </c>
      <c r="AE205" s="931"/>
      <c r="AF205" s="240"/>
    </row>
    <row r="206" spans="1:35" x14ac:dyDescent="0.25">
      <c r="A206" s="417"/>
      <c r="B206" s="1" t="s">
        <v>564</v>
      </c>
      <c r="C206" s="233" t="s">
        <v>7</v>
      </c>
      <c r="D206" s="122" t="s">
        <v>183</v>
      </c>
      <c r="E206" s="231" t="s">
        <v>7</v>
      </c>
      <c r="F206" s="558">
        <v>17</v>
      </c>
      <c r="G206" s="243">
        <v>1</v>
      </c>
      <c r="H206" s="637">
        <f>F206*$H$205</f>
        <v>13.413</v>
      </c>
      <c r="I206" s="235"/>
      <c r="J206" s="235"/>
      <c r="K206" s="325">
        <f>21.59/1000*F206</f>
        <v>0.36703000000000002</v>
      </c>
      <c r="L206" s="638">
        <v>0.36355999999999999</v>
      </c>
      <c r="M206" s="251"/>
      <c r="N206" s="250"/>
      <c r="O206" s="235"/>
      <c r="P206" s="415">
        <f t="shared" ref="P206:P220" si="51">H206+K206+L206+T206+IF($X$1="included",X206,0)</f>
        <v>14.791459999999999</v>
      </c>
      <c r="Q206" s="235"/>
      <c r="R206" s="235"/>
      <c r="S206" s="235"/>
      <c r="T206" s="269">
        <f t="shared" ref="T206:T220" si="52">F206/1000*$T$277</f>
        <v>0.64787000000000006</v>
      </c>
      <c r="U206" s="235"/>
      <c r="V206" s="235"/>
      <c r="W206" s="235"/>
      <c r="X206" s="237">
        <f>IF((Z206-Y206)&lt;0,(Z206-Y206)*-ModulCD!$B$44,(Z206-Y206)*ModulCD!$O$5)*F206</f>
        <v>1.3090000000000002</v>
      </c>
      <c r="Y206" s="253">
        <v>1</v>
      </c>
      <c r="Z206" s="239">
        <v>0.86</v>
      </c>
      <c r="AA206" s="114"/>
      <c r="AB206" s="127"/>
      <c r="AC206" s="127" t="s">
        <v>579</v>
      </c>
      <c r="AE206" s="931"/>
      <c r="AF206" s="240"/>
    </row>
    <row r="207" spans="1:35" x14ac:dyDescent="0.25">
      <c r="A207" s="417"/>
      <c r="B207" s="1" t="s">
        <v>565</v>
      </c>
      <c r="C207" s="233" t="s">
        <v>7</v>
      </c>
      <c r="D207" s="122" t="s">
        <v>184</v>
      </c>
      <c r="E207" s="231" t="s">
        <v>7</v>
      </c>
      <c r="F207" s="558">
        <v>20</v>
      </c>
      <c r="G207" s="243">
        <v>1</v>
      </c>
      <c r="H207" s="637">
        <f t="shared" ref="H207:H220" si="53">F207*$H$205</f>
        <v>15.780000000000001</v>
      </c>
      <c r="I207" s="235"/>
      <c r="J207" s="235"/>
      <c r="K207" s="325">
        <f t="shared" ref="K207:K220" si="54">21.59/1000*F207</f>
        <v>0.43180000000000002</v>
      </c>
      <c r="L207" s="638">
        <v>0.58194000000000001</v>
      </c>
      <c r="M207" s="251"/>
      <c r="N207" s="250"/>
      <c r="O207" s="235"/>
      <c r="P207" s="415">
        <f t="shared" si="51"/>
        <v>17.55594</v>
      </c>
      <c r="Q207" s="235"/>
      <c r="R207" s="235"/>
      <c r="S207" s="235"/>
      <c r="T207" s="269">
        <f t="shared" si="52"/>
        <v>0.76219999999999999</v>
      </c>
      <c r="U207" s="235"/>
      <c r="V207" s="235"/>
      <c r="W207" s="235"/>
      <c r="X207" s="237">
        <f>IF((Z207-Y207)&lt;0,(Z207-Y207)*-ModulCD!$B$44,(Z207-Y207)*ModulCD!$O$5)*F207</f>
        <v>1.5400000000000003</v>
      </c>
      <c r="Y207" s="253">
        <v>1</v>
      </c>
      <c r="Z207" s="239">
        <v>0.86</v>
      </c>
      <c r="AA207" s="114"/>
      <c r="AB207" s="127"/>
      <c r="AC207" s="127" t="s">
        <v>579</v>
      </c>
      <c r="AE207" s="931"/>
      <c r="AF207" s="240"/>
    </row>
    <row r="208" spans="1:35" x14ac:dyDescent="0.25">
      <c r="A208" s="417"/>
      <c r="B208" s="1" t="s">
        <v>566</v>
      </c>
      <c r="C208" s="233" t="s">
        <v>7</v>
      </c>
      <c r="D208" s="122" t="s">
        <v>184</v>
      </c>
      <c r="E208" s="231" t="s">
        <v>7</v>
      </c>
      <c r="F208" s="558">
        <v>22</v>
      </c>
      <c r="G208" s="243">
        <v>1</v>
      </c>
      <c r="H208" s="637">
        <f t="shared" ref="H208:H210" si="55">F208*$H$205</f>
        <v>17.358000000000001</v>
      </c>
      <c r="I208" s="235"/>
      <c r="J208" s="235"/>
      <c r="K208" s="325">
        <f t="shared" ref="K208:K210" si="56">21.59/1000*F208</f>
        <v>0.47498000000000001</v>
      </c>
      <c r="L208" s="638">
        <v>0.58194000000000001</v>
      </c>
      <c r="M208" s="251"/>
      <c r="N208" s="250"/>
      <c r="O208" s="235"/>
      <c r="P208" s="415">
        <f t="shared" ref="P208:P210" si="57">H208+K208+L208+T208+IF($X$1="included",X208,0)</f>
        <v>19.253339999999998</v>
      </c>
      <c r="Q208" s="235"/>
      <c r="R208" s="235"/>
      <c r="S208" s="235"/>
      <c r="T208" s="269">
        <f t="shared" si="52"/>
        <v>0.83841999999999994</v>
      </c>
      <c r="U208" s="235"/>
      <c r="V208" s="235"/>
      <c r="W208" s="235"/>
      <c r="X208" s="237">
        <f>IF((Z208-Y208)&lt;0,(Z208-Y208)*-ModulCD!$B$44,(Z208-Y208)*ModulCD!$O$5)*F208</f>
        <v>1.6940000000000004</v>
      </c>
      <c r="Y208" s="253">
        <v>1</v>
      </c>
      <c r="Z208" s="239">
        <v>0.86</v>
      </c>
      <c r="AA208" s="114"/>
      <c r="AB208" s="127"/>
      <c r="AC208" s="127" t="s">
        <v>579</v>
      </c>
      <c r="AE208" s="931"/>
      <c r="AF208" s="240"/>
    </row>
    <row r="209" spans="1:34" x14ac:dyDescent="0.25">
      <c r="A209" s="417"/>
      <c r="B209" s="1" t="s">
        <v>567</v>
      </c>
      <c r="C209" s="233" t="s">
        <v>7</v>
      </c>
      <c r="D209" s="122" t="s">
        <v>184</v>
      </c>
      <c r="E209" s="231" t="s">
        <v>7</v>
      </c>
      <c r="F209" s="558">
        <v>37</v>
      </c>
      <c r="G209" s="243">
        <v>1</v>
      </c>
      <c r="H209" s="637">
        <f>F209*$H$205</f>
        <v>29.193000000000001</v>
      </c>
      <c r="I209" s="235"/>
      <c r="J209" s="235"/>
      <c r="K209" s="325">
        <f t="shared" ref="K209" si="58">21.59/1000*F209</f>
        <v>0.79883000000000004</v>
      </c>
      <c r="L209" s="638">
        <v>0.58194000000000001</v>
      </c>
      <c r="M209" s="251"/>
      <c r="N209" s="250"/>
      <c r="O209" s="235"/>
      <c r="P209" s="415">
        <f t="shared" ref="P209" si="59">H209+K209+L209+T209+IF($X$1="included",X209,0)</f>
        <v>31.983840000000001</v>
      </c>
      <c r="Q209" s="235"/>
      <c r="R209" s="235"/>
      <c r="S209" s="235"/>
      <c r="T209" s="269">
        <f t="shared" si="52"/>
        <v>1.4100699999999999</v>
      </c>
      <c r="U209" s="235"/>
      <c r="V209" s="235"/>
      <c r="W209" s="235"/>
      <c r="X209" s="237">
        <f>IF((Z209-Y209)&lt;0,(Z209-Y209)*-ModulCD!$B$44,(Z209-Y209)*ModulCD!$O$5)*F209</f>
        <v>2.8490000000000006</v>
      </c>
      <c r="Y209" s="253">
        <v>1</v>
      </c>
      <c r="Z209" s="239">
        <v>0.86</v>
      </c>
      <c r="AA209" s="114"/>
      <c r="AB209" s="127"/>
      <c r="AC209" s="127" t="s">
        <v>579</v>
      </c>
      <c r="AE209" s="931"/>
      <c r="AF209" s="240"/>
    </row>
    <row r="210" spans="1:34" x14ac:dyDescent="0.25">
      <c r="A210" s="417"/>
      <c r="B210" s="1" t="s">
        <v>568</v>
      </c>
      <c r="C210" s="233" t="s">
        <v>7</v>
      </c>
      <c r="D210" s="122" t="s">
        <v>184</v>
      </c>
      <c r="E210" s="231" t="s">
        <v>7</v>
      </c>
      <c r="F210" s="558">
        <v>56</v>
      </c>
      <c r="G210" s="243">
        <v>1</v>
      </c>
      <c r="H210" s="637">
        <f t="shared" si="55"/>
        <v>44.184000000000005</v>
      </c>
      <c r="I210" s="235"/>
      <c r="J210" s="235"/>
      <c r="K210" s="325">
        <f t="shared" si="56"/>
        <v>1.2090400000000001</v>
      </c>
      <c r="L210" s="638">
        <v>0.58194000000000001</v>
      </c>
      <c r="M210" s="251"/>
      <c r="N210" s="250"/>
      <c r="O210" s="235"/>
      <c r="P210" s="415">
        <f t="shared" si="57"/>
        <v>48.109140000000011</v>
      </c>
      <c r="Q210" s="235"/>
      <c r="R210" s="235"/>
      <c r="S210" s="235"/>
      <c r="T210" s="269">
        <f t="shared" si="52"/>
        <v>2.1341600000000001</v>
      </c>
      <c r="U210" s="235"/>
      <c r="V210" s="235"/>
      <c r="W210" s="235"/>
      <c r="X210" s="237">
        <f>IF((Z210-Y210)&lt;0,(Z210-Y210)*-ModulCD!$B$44,(Z210-Y210)*ModulCD!$O$5)*F210</f>
        <v>4.3120000000000012</v>
      </c>
      <c r="Y210" s="253">
        <v>1</v>
      </c>
      <c r="Z210" s="239">
        <v>0.86</v>
      </c>
      <c r="AA210" s="114"/>
      <c r="AB210" s="127"/>
      <c r="AC210" s="127" t="s">
        <v>579</v>
      </c>
      <c r="AE210" s="931"/>
      <c r="AF210" s="240"/>
    </row>
    <row r="211" spans="1:34" x14ac:dyDescent="0.25">
      <c r="A211" s="417"/>
      <c r="B211" s="1" t="s">
        <v>569</v>
      </c>
      <c r="C211" s="233" t="s">
        <v>7</v>
      </c>
      <c r="D211" s="122" t="s">
        <v>184</v>
      </c>
      <c r="E211" s="231" t="s">
        <v>7</v>
      </c>
      <c r="F211" s="558">
        <v>66</v>
      </c>
      <c r="G211" s="243">
        <v>1</v>
      </c>
      <c r="H211" s="637">
        <f t="shared" si="53"/>
        <v>52.074000000000005</v>
      </c>
      <c r="I211" s="235"/>
      <c r="J211" s="235"/>
      <c r="K211" s="325">
        <f t="shared" si="54"/>
        <v>1.4249400000000001</v>
      </c>
      <c r="L211" s="638">
        <v>0.58194000000000001</v>
      </c>
      <c r="M211" s="251"/>
      <c r="N211" s="250"/>
      <c r="O211" s="235"/>
      <c r="P211" s="415">
        <f t="shared" si="51"/>
        <v>56.596140000000005</v>
      </c>
      <c r="Q211" s="235"/>
      <c r="R211" s="235"/>
      <c r="S211" s="235"/>
      <c r="T211" s="269">
        <f t="shared" si="52"/>
        <v>2.5152600000000001</v>
      </c>
      <c r="U211" s="235"/>
      <c r="V211" s="235"/>
      <c r="W211" s="235"/>
      <c r="X211" s="237">
        <f>IF((Z211-Y211)&lt;0,(Z211-Y211)*-ModulCD!$B$44,(Z211-Y211)*ModulCD!$O$5)*F211</f>
        <v>5.0820000000000007</v>
      </c>
      <c r="Y211" s="253">
        <v>1</v>
      </c>
      <c r="Z211" s="239">
        <v>0.86</v>
      </c>
      <c r="AA211" s="114"/>
      <c r="AB211" s="127"/>
      <c r="AC211" s="127" t="s">
        <v>579</v>
      </c>
      <c r="AE211" s="931"/>
      <c r="AF211" s="240"/>
    </row>
    <row r="212" spans="1:34" x14ac:dyDescent="0.25">
      <c r="A212" s="417"/>
      <c r="B212" s="1" t="s">
        <v>570</v>
      </c>
      <c r="C212" s="233" t="s">
        <v>7</v>
      </c>
      <c r="D212" s="122" t="s">
        <v>184</v>
      </c>
      <c r="E212" s="231" t="s">
        <v>7</v>
      </c>
      <c r="F212" s="558">
        <v>15</v>
      </c>
      <c r="G212" s="243">
        <v>1</v>
      </c>
      <c r="H212" s="637">
        <f t="shared" ref="H212" si="60">F212*$H$205</f>
        <v>11.835000000000001</v>
      </c>
      <c r="I212" s="235"/>
      <c r="J212" s="235"/>
      <c r="K212" s="325">
        <f t="shared" ref="K212" si="61">21.59/1000*F212</f>
        <v>0.32385000000000003</v>
      </c>
      <c r="L212" s="638">
        <v>0.58194000000000001</v>
      </c>
      <c r="M212" s="251"/>
      <c r="N212" s="250"/>
      <c r="O212" s="235"/>
      <c r="P212" s="415">
        <f t="shared" ref="P212" si="62">H212+K212+L212+T212+IF($X$1="included",X212,0)</f>
        <v>13.31244</v>
      </c>
      <c r="Q212" s="235"/>
      <c r="R212" s="235"/>
      <c r="S212" s="235"/>
      <c r="T212" s="269">
        <f t="shared" si="52"/>
        <v>0.57164999999999999</v>
      </c>
      <c r="U212" s="235"/>
      <c r="V212" s="235"/>
      <c r="W212" s="235"/>
      <c r="X212" s="237">
        <f>IF((Z212-Y212)&lt;0,(Z212-Y212)*-ModulCD!$B$44,(Z212-Y212)*ModulCD!$O$5)*F212</f>
        <v>1.1550000000000002</v>
      </c>
      <c r="Y212" s="253">
        <v>1</v>
      </c>
      <c r="Z212" s="239">
        <v>0.86</v>
      </c>
      <c r="AA212" s="114"/>
      <c r="AB212" s="127"/>
      <c r="AC212" s="127" t="s">
        <v>579</v>
      </c>
      <c r="AE212" s="931"/>
      <c r="AF212" s="240"/>
    </row>
    <row r="213" spans="1:34" x14ac:dyDescent="0.25">
      <c r="A213" s="417"/>
      <c r="B213" s="1" t="s">
        <v>571</v>
      </c>
      <c r="C213" s="233" t="s">
        <v>7</v>
      </c>
      <c r="D213" s="122" t="s">
        <v>184</v>
      </c>
      <c r="E213" s="231" t="s">
        <v>7</v>
      </c>
      <c r="F213" s="558">
        <v>20</v>
      </c>
      <c r="G213" s="243">
        <v>1</v>
      </c>
      <c r="H213" s="637">
        <f t="shared" si="53"/>
        <v>15.780000000000001</v>
      </c>
      <c r="I213" s="235"/>
      <c r="J213" s="235"/>
      <c r="K213" s="325">
        <f t="shared" si="54"/>
        <v>0.43180000000000002</v>
      </c>
      <c r="L213" s="638">
        <v>0.58194000000000001</v>
      </c>
      <c r="M213" s="251"/>
      <c r="N213" s="250"/>
      <c r="O213" s="235"/>
      <c r="P213" s="415">
        <f t="shared" si="51"/>
        <v>17.55594</v>
      </c>
      <c r="Q213" s="235"/>
      <c r="R213" s="235"/>
      <c r="S213" s="235"/>
      <c r="T213" s="269">
        <f t="shared" si="52"/>
        <v>0.76219999999999999</v>
      </c>
      <c r="U213" s="235"/>
      <c r="V213" s="235"/>
      <c r="W213" s="235"/>
      <c r="X213" s="237">
        <f>IF((Z213-Y213)&lt;0,(Z213-Y213)*-ModulCD!$B$44,(Z213-Y213)*ModulCD!$O$5)*F213</f>
        <v>1.5400000000000003</v>
      </c>
      <c r="Y213" s="253">
        <v>1</v>
      </c>
      <c r="Z213" s="239">
        <v>0.86</v>
      </c>
      <c r="AA213" s="114"/>
      <c r="AB213" s="127"/>
      <c r="AC213" s="127" t="s">
        <v>579</v>
      </c>
      <c r="AE213" s="931"/>
      <c r="AF213" s="240"/>
    </row>
    <row r="214" spans="1:34" x14ac:dyDescent="0.25">
      <c r="A214" s="417"/>
      <c r="B214" s="1" t="s">
        <v>572</v>
      </c>
      <c r="C214" s="233" t="s">
        <v>7</v>
      </c>
      <c r="D214" s="122" t="s">
        <v>184</v>
      </c>
      <c r="E214" s="231" t="s">
        <v>7</v>
      </c>
      <c r="F214" s="558">
        <v>24</v>
      </c>
      <c r="G214" s="243">
        <v>1</v>
      </c>
      <c r="H214" s="637">
        <f t="shared" ref="H214" si="63">F214*$H$205</f>
        <v>18.936</v>
      </c>
      <c r="I214" s="235"/>
      <c r="J214" s="235"/>
      <c r="K214" s="325">
        <f t="shared" ref="K214" si="64">21.59/1000*F214</f>
        <v>0.51816000000000006</v>
      </c>
      <c r="L214" s="638">
        <v>0.58194000000000001</v>
      </c>
      <c r="M214" s="251"/>
      <c r="N214" s="250"/>
      <c r="O214" s="235"/>
      <c r="P214" s="415">
        <f t="shared" ref="P214" si="65">H214+K214+L214+T214+IF($X$1="included",X214,0)</f>
        <v>20.95074</v>
      </c>
      <c r="Q214" s="235"/>
      <c r="R214" s="235"/>
      <c r="S214" s="235"/>
      <c r="T214" s="269">
        <f t="shared" si="52"/>
        <v>0.91464000000000001</v>
      </c>
      <c r="U214" s="235"/>
      <c r="V214" s="235"/>
      <c r="W214" s="235"/>
      <c r="X214" s="237">
        <f>IF((Z214-Y214)&lt;0,(Z214-Y214)*-ModulCD!$B$44,(Z214-Y214)*ModulCD!$O$5)*F214</f>
        <v>1.8480000000000003</v>
      </c>
      <c r="Y214" s="253">
        <v>1</v>
      </c>
      <c r="Z214" s="239">
        <v>0.86</v>
      </c>
      <c r="AA214" s="114"/>
      <c r="AB214" s="127"/>
      <c r="AC214" s="127" t="s">
        <v>579</v>
      </c>
      <c r="AE214" s="931"/>
      <c r="AF214" s="240"/>
    </row>
    <row r="215" spans="1:34" x14ac:dyDescent="0.25">
      <c r="A215" s="417"/>
      <c r="B215" s="1" t="s">
        <v>573</v>
      </c>
      <c r="C215" s="233" t="s">
        <v>7</v>
      </c>
      <c r="D215" s="122" t="s">
        <v>184</v>
      </c>
      <c r="E215" s="231" t="s">
        <v>7</v>
      </c>
      <c r="F215" s="558">
        <v>28</v>
      </c>
      <c r="G215" s="243">
        <v>1</v>
      </c>
      <c r="H215" s="637">
        <f>F215*$H$205</f>
        <v>22.092000000000002</v>
      </c>
      <c r="I215" s="235"/>
      <c r="J215" s="235"/>
      <c r="K215" s="325">
        <f t="shared" ref="K215" si="66">21.59/1000*F215</f>
        <v>0.60452000000000006</v>
      </c>
      <c r="L215" s="638">
        <v>0.58194000000000001</v>
      </c>
      <c r="M215" s="251"/>
      <c r="N215" s="250"/>
      <c r="O215" s="235"/>
      <c r="P215" s="415">
        <f t="shared" ref="P215" si="67">H215+K215+L215+T215+IF($X$1="included",X215,0)</f>
        <v>24.345540000000003</v>
      </c>
      <c r="Q215" s="235"/>
      <c r="R215" s="235"/>
      <c r="S215" s="235"/>
      <c r="T215" s="269">
        <f t="shared" si="52"/>
        <v>1.06708</v>
      </c>
      <c r="U215" s="235"/>
      <c r="V215" s="235"/>
      <c r="W215" s="235"/>
      <c r="X215" s="237">
        <f>IF((Z215-Y215)&lt;0,(Z215-Y215)*-ModulCD!$B$44,(Z215-Y215)*ModulCD!$O$5)*F215</f>
        <v>2.1560000000000006</v>
      </c>
      <c r="Y215" s="253">
        <v>1</v>
      </c>
      <c r="Z215" s="239">
        <v>0.86</v>
      </c>
      <c r="AA215" s="114"/>
      <c r="AB215" s="127"/>
      <c r="AC215" s="127" t="s">
        <v>579</v>
      </c>
      <c r="AE215" s="931"/>
      <c r="AF215" s="240"/>
    </row>
    <row r="216" spans="1:34" x14ac:dyDescent="0.25">
      <c r="A216" s="417"/>
      <c r="B216" s="1" t="s">
        <v>574</v>
      </c>
      <c r="C216" s="233" t="s">
        <v>7</v>
      </c>
      <c r="D216" s="122" t="s">
        <v>184</v>
      </c>
      <c r="E216" s="231" t="s">
        <v>7</v>
      </c>
      <c r="F216" s="558">
        <v>64</v>
      </c>
      <c r="G216" s="243">
        <v>1</v>
      </c>
      <c r="H216" s="637">
        <f t="shared" si="53"/>
        <v>50.496000000000002</v>
      </c>
      <c r="I216" s="235"/>
      <c r="J216" s="235"/>
      <c r="K216" s="325">
        <f t="shared" si="54"/>
        <v>1.3817600000000001</v>
      </c>
      <c r="L216" s="638">
        <v>0.76615999999999995</v>
      </c>
      <c r="M216" s="251"/>
      <c r="N216" s="250"/>
      <c r="O216" s="235"/>
      <c r="P216" s="415">
        <f t="shared" si="51"/>
        <v>55.08296</v>
      </c>
      <c r="Q216" s="235"/>
      <c r="R216" s="235"/>
      <c r="S216" s="235"/>
      <c r="T216" s="269">
        <f t="shared" si="52"/>
        <v>2.4390399999999999</v>
      </c>
      <c r="U216" s="235"/>
      <c r="V216" s="235"/>
      <c r="W216" s="235"/>
      <c r="X216" s="237">
        <f>IF((Z216-Y216)&lt;0,(Z216-Y216)*-ModulCD!$B$44,(Z216-Y216)*ModulCD!$O$5)*F216</f>
        <v>4.9280000000000008</v>
      </c>
      <c r="Y216" s="253">
        <v>1</v>
      </c>
      <c r="Z216" s="239">
        <v>0.86</v>
      </c>
      <c r="AA216" s="114"/>
      <c r="AB216" s="127"/>
      <c r="AC216" s="127" t="s">
        <v>579</v>
      </c>
      <c r="AE216" s="931"/>
      <c r="AF216" s="240"/>
    </row>
    <row r="217" spans="1:34" x14ac:dyDescent="0.25">
      <c r="A217" s="417"/>
      <c r="B217" s="1" t="s">
        <v>575</v>
      </c>
      <c r="C217" s="233" t="s">
        <v>7</v>
      </c>
      <c r="D217" s="122" t="s">
        <v>184</v>
      </c>
      <c r="E217" s="231" t="s">
        <v>7</v>
      </c>
      <c r="F217" s="558">
        <v>68</v>
      </c>
      <c r="G217" s="243">
        <v>1</v>
      </c>
      <c r="H217" s="637">
        <f t="shared" si="53"/>
        <v>53.652000000000001</v>
      </c>
      <c r="I217" s="235"/>
      <c r="J217" s="235"/>
      <c r="K217" s="325">
        <f t="shared" si="54"/>
        <v>1.4681200000000001</v>
      </c>
      <c r="L217" s="638">
        <v>1.4969399999999999</v>
      </c>
      <c r="M217" s="251"/>
      <c r="N217" s="250"/>
      <c r="O217" s="235"/>
      <c r="P217" s="415">
        <f t="shared" si="51"/>
        <v>59.208539999999999</v>
      </c>
      <c r="Q217" s="235"/>
      <c r="R217" s="235"/>
      <c r="S217" s="235"/>
      <c r="T217" s="269">
        <f t="shared" si="52"/>
        <v>2.5914800000000002</v>
      </c>
      <c r="U217" s="235"/>
      <c r="V217" s="235"/>
      <c r="W217" s="235"/>
      <c r="X217" s="237">
        <f>IF((Z217-Y217)&lt;0,(Z217-Y217)*-ModulCD!$B$44,(Z217-Y217)*ModulCD!$O$5)*F217</f>
        <v>5.2360000000000007</v>
      </c>
      <c r="Y217" s="253">
        <v>1</v>
      </c>
      <c r="Z217" s="239">
        <v>0.86</v>
      </c>
      <c r="AA217" s="114"/>
      <c r="AB217" s="127"/>
      <c r="AC217" s="127" t="s">
        <v>579</v>
      </c>
      <c r="AE217" s="931"/>
      <c r="AF217" s="240"/>
    </row>
    <row r="218" spans="1:34" x14ac:dyDescent="0.25">
      <c r="A218" s="417"/>
      <c r="B218" s="1" t="s">
        <v>576</v>
      </c>
      <c r="C218" s="233" t="s">
        <v>7</v>
      </c>
      <c r="D218" s="122" t="s">
        <v>184</v>
      </c>
      <c r="E218" s="231" t="s">
        <v>7</v>
      </c>
      <c r="F218" s="558">
        <v>76</v>
      </c>
      <c r="G218" s="243">
        <v>1</v>
      </c>
      <c r="H218" s="637">
        <f t="shared" ref="H218" si="68">F218*$H$205</f>
        <v>59.964000000000006</v>
      </c>
      <c r="I218" s="235"/>
      <c r="J218" s="235"/>
      <c r="K218" s="325">
        <f t="shared" ref="K218" si="69">21.59/1000*F218</f>
        <v>1.6408400000000001</v>
      </c>
      <c r="L218" s="638">
        <v>1.4969399999999999</v>
      </c>
      <c r="M218" s="251"/>
      <c r="N218" s="250"/>
      <c r="O218" s="235"/>
      <c r="P218" s="415">
        <f t="shared" ref="P218" si="70">H218+K218+L218+T218+IF($X$1="included",X218,0)</f>
        <v>65.998140000000006</v>
      </c>
      <c r="Q218" s="235"/>
      <c r="R218" s="235"/>
      <c r="S218" s="235"/>
      <c r="T218" s="269">
        <f t="shared" si="52"/>
        <v>2.89636</v>
      </c>
      <c r="U218" s="235"/>
      <c r="V218" s="235"/>
      <c r="W218" s="235"/>
      <c r="X218" s="237">
        <f>IF((Z218-Y218)&lt;0,(Z218-Y218)*-ModulCD!$B$44,(Z218-Y218)*ModulCD!$O$5)*F218</f>
        <v>5.8520000000000012</v>
      </c>
      <c r="Y218" s="253">
        <v>1</v>
      </c>
      <c r="Z218" s="239">
        <v>0.86</v>
      </c>
      <c r="AA218" s="114"/>
      <c r="AB218" s="127"/>
      <c r="AC218" s="127" t="s">
        <v>579</v>
      </c>
      <c r="AE218" s="931"/>
      <c r="AF218" s="240"/>
    </row>
    <row r="219" spans="1:34" x14ac:dyDescent="0.25">
      <c r="A219" s="417"/>
      <c r="B219" s="1" t="s">
        <v>577</v>
      </c>
      <c r="C219" s="233" t="s">
        <v>7</v>
      </c>
      <c r="D219" s="122" t="s">
        <v>184</v>
      </c>
      <c r="E219" s="231" t="s">
        <v>7</v>
      </c>
      <c r="F219" s="558">
        <v>35</v>
      </c>
      <c r="G219" s="243">
        <v>1</v>
      </c>
      <c r="H219" s="637">
        <f t="shared" si="53"/>
        <v>27.615000000000002</v>
      </c>
      <c r="I219" s="235"/>
      <c r="J219" s="235"/>
      <c r="K219" s="325">
        <f t="shared" si="54"/>
        <v>0.75565000000000004</v>
      </c>
      <c r="L219" s="638">
        <v>1.1248399999999998</v>
      </c>
      <c r="M219" s="251"/>
      <c r="N219" s="250"/>
      <c r="O219" s="235"/>
      <c r="P219" s="415">
        <f t="shared" si="51"/>
        <v>30.829340000000002</v>
      </c>
      <c r="Q219" s="235"/>
      <c r="R219" s="235"/>
      <c r="S219" s="235"/>
      <c r="T219" s="269">
        <f t="shared" si="52"/>
        <v>1.3338500000000002</v>
      </c>
      <c r="U219" s="235"/>
      <c r="V219" s="235"/>
      <c r="W219" s="235"/>
      <c r="X219" s="237">
        <f>IF((Z219-Y219)&lt;0,(Z219-Y219)*-ModulCD!$B$44,(Z219-Y219)*ModulCD!$O$5)*F219</f>
        <v>2.6950000000000003</v>
      </c>
      <c r="Y219" s="253">
        <v>1</v>
      </c>
      <c r="Z219" s="239">
        <v>0.86</v>
      </c>
      <c r="AA219" s="114"/>
      <c r="AB219" s="127"/>
      <c r="AC219" s="127" t="s">
        <v>579</v>
      </c>
      <c r="AE219" s="931"/>
      <c r="AF219" s="240"/>
    </row>
    <row r="220" spans="1:34" x14ac:dyDescent="0.25">
      <c r="A220" s="417"/>
      <c r="B220" s="1" t="s">
        <v>578</v>
      </c>
      <c r="C220" s="233" t="s">
        <v>7</v>
      </c>
      <c r="D220" s="122" t="s">
        <v>184</v>
      </c>
      <c r="E220" s="231" t="s">
        <v>7</v>
      </c>
      <c r="F220" s="558">
        <v>53</v>
      </c>
      <c r="G220" s="243">
        <v>1</v>
      </c>
      <c r="H220" s="637">
        <f t="shared" si="53"/>
        <v>41.817</v>
      </c>
      <c r="I220" s="235"/>
      <c r="J220" s="235"/>
      <c r="K220" s="325">
        <f t="shared" si="54"/>
        <v>1.1442700000000001</v>
      </c>
      <c r="L220" s="638">
        <v>1.3383399999999999</v>
      </c>
      <c r="M220" s="251"/>
      <c r="N220" s="250"/>
      <c r="O220" s="235"/>
      <c r="P220" s="415">
        <f t="shared" si="51"/>
        <v>46.31944</v>
      </c>
      <c r="Q220" s="235"/>
      <c r="R220" s="235"/>
      <c r="S220" s="235"/>
      <c r="T220" s="269">
        <f t="shared" si="52"/>
        <v>2.0198299999999998</v>
      </c>
      <c r="U220" s="235"/>
      <c r="V220" s="235"/>
      <c r="W220" s="235"/>
      <c r="X220" s="237">
        <f>IF((Z220-Y220)&lt;0,(Z220-Y220)*-ModulCD!$B$44,(Z220-Y220)*ModulCD!$O$5)*F220</f>
        <v>4.0810000000000004</v>
      </c>
      <c r="Y220" s="253">
        <v>1</v>
      </c>
      <c r="Z220" s="239">
        <v>0.86</v>
      </c>
      <c r="AA220" s="114"/>
      <c r="AB220" s="127"/>
      <c r="AC220" s="127" t="s">
        <v>579</v>
      </c>
      <c r="AE220" s="931"/>
      <c r="AF220" s="240"/>
    </row>
    <row r="221" spans="1:34" s="23" customFormat="1" ht="15" customHeight="1" x14ac:dyDescent="0.25">
      <c r="A221" s="627"/>
      <c r="B221" s="447" t="s">
        <v>364</v>
      </c>
      <c r="C221" s="448"/>
      <c r="D221" s="449"/>
      <c r="E221" s="450" t="s">
        <v>7</v>
      </c>
      <c r="F221" s="451">
        <f>D221</f>
        <v>0</v>
      </c>
      <c r="G221" s="452">
        <f>F221</f>
        <v>0</v>
      </c>
      <c r="H221" s="453"/>
      <c r="I221" s="453"/>
      <c r="J221" s="453"/>
      <c r="K221" s="453"/>
      <c r="L221" s="453"/>
      <c r="M221" s="454"/>
      <c r="N221" s="453"/>
      <c r="O221" s="455"/>
      <c r="P221" s="455"/>
      <c r="Q221" s="455"/>
      <c r="R221" s="455"/>
      <c r="S221" s="455"/>
      <c r="T221" s="456"/>
      <c r="U221" s="455"/>
      <c r="V221" s="455"/>
      <c r="W221" s="455"/>
      <c r="X221" s="456"/>
      <c r="Y221" s="457"/>
      <c r="Z221" s="458"/>
      <c r="AA221" s="459"/>
      <c r="AB221" s="460"/>
      <c r="AC221" s="629"/>
      <c r="AD221" s="461"/>
      <c r="AE221" s="461"/>
      <c r="AF221" s="462"/>
      <c r="AG221" s="640"/>
    </row>
    <row r="222" spans="1:34" x14ac:dyDescent="0.25">
      <c r="A222" s="329"/>
      <c r="B222" s="418" t="s">
        <v>365</v>
      </c>
      <c r="C222" s="233"/>
      <c r="E222" s="231"/>
      <c r="G222" s="243"/>
      <c r="H222" s="250"/>
      <c r="I222" s="235"/>
      <c r="J222" s="235"/>
      <c r="K222" s="250"/>
      <c r="L222" s="250"/>
      <c r="M222" s="567"/>
      <c r="N222" s="566"/>
      <c r="O222" s="501"/>
      <c r="P222" s="827"/>
      <c r="Q222" s="235"/>
      <c r="R222" s="235"/>
      <c r="S222" s="235"/>
      <c r="T222" s="251"/>
      <c r="U222" s="235"/>
      <c r="V222" s="235"/>
      <c r="W222" s="235"/>
      <c r="X222" s="251"/>
      <c r="Y222" s="114"/>
      <c r="Z222" s="127"/>
      <c r="AA222" s="122"/>
      <c r="AB222" s="122"/>
      <c r="AC222" s="127"/>
    </row>
    <row r="223" spans="1:34" x14ac:dyDescent="0.25">
      <c r="A223" s="329"/>
      <c r="B223" s="418" t="s">
        <v>655</v>
      </c>
      <c r="C223" s="233" t="s">
        <v>9</v>
      </c>
      <c r="E223" s="231"/>
      <c r="F223" s="586">
        <v>2378</v>
      </c>
      <c r="G223" s="243"/>
      <c r="H223" s="466">
        <v>139.69300000000001</v>
      </c>
      <c r="I223" s="235"/>
      <c r="J223" s="235"/>
      <c r="K223" s="414">
        <v>9.3699999999999992</v>
      </c>
      <c r="L223" s="414">
        <v>4.0650000000000004</v>
      </c>
      <c r="M223" s="268">
        <v>-2.7170000000000001</v>
      </c>
      <c r="N223" s="250"/>
      <c r="O223" s="235"/>
      <c r="P223" s="291"/>
      <c r="Q223" s="235"/>
      <c r="R223" s="235"/>
      <c r="S223" s="235"/>
      <c r="T223" s="414">
        <f>3.275+4.621+0.592+0.122-1.063</f>
        <v>7.5470000000000015</v>
      </c>
      <c r="U223" s="235"/>
      <c r="V223" s="235"/>
      <c r="W223" s="235"/>
      <c r="X223" s="251"/>
      <c r="Y223" s="114"/>
      <c r="Z223" s="127"/>
      <c r="AA223" s="122">
        <v>2024</v>
      </c>
      <c r="AB223" s="122">
        <v>2029</v>
      </c>
      <c r="AC223" s="861" t="s">
        <v>730</v>
      </c>
      <c r="AD223" t="s">
        <v>729</v>
      </c>
      <c r="AF223" s="416" t="s">
        <v>755</v>
      </c>
    </row>
    <row r="224" spans="1:34" x14ac:dyDescent="0.25">
      <c r="A224" s="329"/>
      <c r="B224" s="1" t="s">
        <v>366</v>
      </c>
      <c r="C224" s="233" t="s">
        <v>7</v>
      </c>
      <c r="D224" s="122" t="s">
        <v>184</v>
      </c>
      <c r="E224" s="231" t="s">
        <v>7</v>
      </c>
      <c r="F224" s="558">
        <v>515</v>
      </c>
      <c r="G224" s="243">
        <v>1</v>
      </c>
      <c r="H224" s="637">
        <f>$H$223*F224/1000</f>
        <v>71.941895000000002</v>
      </c>
      <c r="I224" s="235"/>
      <c r="J224" s="235"/>
      <c r="K224" s="325">
        <f>$K$223/1000*F224</f>
        <v>4.8255499999999998</v>
      </c>
      <c r="L224" s="638">
        <f>$L$223*F224/1000</f>
        <v>2.0934750000000002</v>
      </c>
      <c r="M224" s="251"/>
      <c r="N224" s="250"/>
      <c r="O224" s="235"/>
      <c r="P224" s="828">
        <f>H224+K224+L224+T224+IF($X$1="included",X224,0)</f>
        <v>82.747625000000014</v>
      </c>
      <c r="Q224" s="235"/>
      <c r="R224" s="235"/>
      <c r="S224" s="235"/>
      <c r="T224" s="637">
        <f>$T$223*F224/1000</f>
        <v>3.886705000000001</v>
      </c>
      <c r="U224" s="235"/>
      <c r="V224" s="235"/>
      <c r="W224" s="235"/>
      <c r="X224" s="237">
        <f>(Y224-Z224)*ModulCD!$O$3*AB224+IF((AH224-AG224)&lt;0,(AH224-AG224)*-ModulCD!$B$37,(AH224-AG224)*ModulCD!$O$4)*AA224</f>
        <v>0</v>
      </c>
      <c r="Y224" s="253">
        <v>0</v>
      </c>
      <c r="Z224" s="239">
        <v>0.59399999999999997</v>
      </c>
      <c r="AA224" s="142"/>
      <c r="AB224" s="142"/>
      <c r="AC224" s="266" t="s">
        <v>656</v>
      </c>
      <c r="AE224" s="932" t="s">
        <v>558</v>
      </c>
      <c r="AG224" s="144"/>
      <c r="AH224" s="144"/>
    </row>
    <row r="225" spans="1:34" x14ac:dyDescent="0.25">
      <c r="A225" s="329"/>
      <c r="B225" s="1" t="s">
        <v>367</v>
      </c>
      <c r="C225" s="233" t="s">
        <v>7</v>
      </c>
      <c r="D225" s="122" t="s">
        <v>184</v>
      </c>
      <c r="E225" s="231" t="s">
        <v>7</v>
      </c>
      <c r="F225" s="558">
        <v>765.8</v>
      </c>
      <c r="G225" s="243">
        <v>1</v>
      </c>
      <c r="H225" s="637">
        <f t="shared" ref="H225:H227" si="71">$H$223*F225/1000</f>
        <v>106.97689940000001</v>
      </c>
      <c r="I225" s="235"/>
      <c r="J225" s="235"/>
      <c r="K225" s="325">
        <f t="shared" ref="K225:K227" si="72">$K$223/1000*F225</f>
        <v>7.1755459999999998</v>
      </c>
      <c r="L225" s="638">
        <f t="shared" ref="L225:L227" si="73">$L$223*F225/1000</f>
        <v>3.1129770000000003</v>
      </c>
      <c r="M225" s="251"/>
      <c r="N225" s="250"/>
      <c r="O225" s="235"/>
      <c r="P225" s="828">
        <f>H225+K225+L225+T225+IF($X$1="included",X225,0)</f>
        <v>123.044915</v>
      </c>
      <c r="Q225" s="235"/>
      <c r="R225" s="235"/>
      <c r="S225" s="235"/>
      <c r="T225" s="637">
        <f t="shared" ref="T225:T227" si="74">$T$223*F225/1000</f>
        <v>5.7794926000000002</v>
      </c>
      <c r="U225" s="235"/>
      <c r="V225" s="235"/>
      <c r="W225" s="235"/>
      <c r="X225" s="237">
        <f>(Y225-Z225)*ModulCD!$O$3*AB225+IF((AH225-AG225)&lt;0,(AH225-AG225)*-ModulCD!$B$37,(AH225-AG225)*ModulCD!$O$4)*AA225</f>
        <v>0</v>
      </c>
      <c r="Y225" s="253">
        <v>0</v>
      </c>
      <c r="Z225" s="239">
        <v>0.59399999999999997</v>
      </c>
      <c r="AA225" s="142"/>
      <c r="AB225" s="142"/>
      <c r="AC225" s="266"/>
      <c r="AE225" s="933"/>
      <c r="AG225" s="144"/>
      <c r="AH225" s="144"/>
    </row>
    <row r="226" spans="1:34" x14ac:dyDescent="0.25">
      <c r="A226" s="329"/>
      <c r="B226" s="1" t="s">
        <v>368</v>
      </c>
      <c r="C226" s="233" t="s">
        <v>7</v>
      </c>
      <c r="D226" s="122" t="s">
        <v>184</v>
      </c>
      <c r="E226" s="231" t="s">
        <v>7</v>
      </c>
      <c r="F226" s="558">
        <v>800</v>
      </c>
      <c r="G226" s="243">
        <v>1</v>
      </c>
      <c r="H226" s="637">
        <f t="shared" si="71"/>
        <v>111.7544</v>
      </c>
      <c r="I226" s="235"/>
      <c r="J226" s="235"/>
      <c r="K226" s="325">
        <f t="shared" si="72"/>
        <v>7.4959999999999996</v>
      </c>
      <c r="L226" s="638">
        <f t="shared" si="73"/>
        <v>3.2520000000000007</v>
      </c>
      <c r="M226" s="251"/>
      <c r="N226" s="250"/>
      <c r="O226" s="235"/>
      <c r="P226" s="828">
        <f>H226+K226+L226+T226+IF($X$1="included",X226,0)</f>
        <v>128.54</v>
      </c>
      <c r="Q226" s="235"/>
      <c r="R226" s="235"/>
      <c r="S226" s="235"/>
      <c r="T226" s="637">
        <f t="shared" si="74"/>
        <v>6.0376000000000012</v>
      </c>
      <c r="U226" s="235"/>
      <c r="V226" s="235"/>
      <c r="W226" s="235"/>
      <c r="X226" s="237">
        <f>(Y226-Z226)*ModulCD!$O$3*AB226+IF((AH226-AG226)&lt;0,(AH226-AG226)*-ModulCD!$B$37,(AH226-AG226)*ModulCD!$O$4)*AA226</f>
        <v>0</v>
      </c>
      <c r="Y226" s="253">
        <v>0</v>
      </c>
      <c r="Z226" s="239">
        <v>0.59399999999999997</v>
      </c>
      <c r="AA226" s="142"/>
      <c r="AB226" s="142"/>
      <c r="AC226" s="266"/>
      <c r="AE226" s="933"/>
      <c r="AG226" s="144"/>
      <c r="AH226" s="144"/>
    </row>
    <row r="227" spans="1:34" x14ac:dyDescent="0.25">
      <c r="A227" s="329"/>
      <c r="B227" s="1" t="s">
        <v>369</v>
      </c>
      <c r="C227" s="233" t="s">
        <v>7</v>
      </c>
      <c r="D227" s="122" t="s">
        <v>184</v>
      </c>
      <c r="E227" s="231" t="s">
        <v>7</v>
      </c>
      <c r="F227" s="558">
        <v>1090.9000000000001</v>
      </c>
      <c r="G227" s="243">
        <v>1</v>
      </c>
      <c r="H227" s="637">
        <f t="shared" si="71"/>
        <v>152.39109370000003</v>
      </c>
      <c r="I227" s="235"/>
      <c r="J227" s="235"/>
      <c r="K227" s="325">
        <f t="shared" si="72"/>
        <v>10.221733</v>
      </c>
      <c r="L227" s="638">
        <f t="shared" si="73"/>
        <v>4.4345085000000006</v>
      </c>
      <c r="M227" s="251"/>
      <c r="N227" s="250"/>
      <c r="O227" s="235"/>
      <c r="P227" s="828">
        <f>H227+K227+L227+T227+IF($X$1="included",X227,0)</f>
        <v>175.28035750000004</v>
      </c>
      <c r="Q227" s="235"/>
      <c r="R227" s="235"/>
      <c r="S227" s="235"/>
      <c r="T227" s="637">
        <f t="shared" si="74"/>
        <v>8.2330223000000018</v>
      </c>
      <c r="U227" s="235"/>
      <c r="V227" s="235"/>
      <c r="W227" s="235"/>
      <c r="X227" s="237">
        <f>(Y227-Z227)*ModulCD!$O$3*AB227+IF((AH227-AG227)&lt;0,(AH227-AG227)*-ModulCD!$B$37,(AH227-AG227)*ModulCD!$O$4)*AA227</f>
        <v>0</v>
      </c>
      <c r="Y227" s="253">
        <v>0</v>
      </c>
      <c r="Z227" s="239">
        <v>0.59399999999999997</v>
      </c>
      <c r="AA227" s="142"/>
      <c r="AB227" s="142"/>
      <c r="AC227" s="266"/>
      <c r="AE227" s="933"/>
      <c r="AG227" s="144"/>
      <c r="AH227" s="144"/>
    </row>
    <row r="228" spans="1:34" ht="15.75" thickBot="1" x14ac:dyDescent="0.3">
      <c r="A228" s="639"/>
      <c r="B228" s="348" t="s">
        <v>370</v>
      </c>
      <c r="C228" s="349"/>
      <c r="D228" s="350"/>
      <c r="E228" s="351" t="s">
        <v>7</v>
      </c>
      <c r="F228" s="352">
        <f>D228</f>
        <v>0</v>
      </c>
      <c r="G228" s="353">
        <f>F228</f>
        <v>0</v>
      </c>
      <c r="H228" s="354"/>
      <c r="I228" s="354"/>
      <c r="J228" s="354"/>
      <c r="K228" s="354"/>
      <c r="L228" s="354"/>
      <c r="M228" s="355"/>
      <c r="N228" s="354"/>
      <c r="O228" s="356"/>
      <c r="P228" s="829"/>
      <c r="Q228" s="356"/>
      <c r="R228" s="356"/>
      <c r="S228" s="356"/>
      <c r="T228" s="357"/>
      <c r="U228" s="356"/>
      <c r="V228" s="356"/>
      <c r="W228" s="356"/>
      <c r="X228" s="357"/>
      <c r="Y228" s="358"/>
      <c r="Z228" s="359"/>
      <c r="AA228" s="360"/>
      <c r="AB228" s="361"/>
      <c r="AC228" s="616"/>
      <c r="AD228" s="362"/>
      <c r="AE228" s="362"/>
      <c r="AF228" s="363"/>
      <c r="AG228" s="124"/>
    </row>
    <row r="229" spans="1:34" ht="15" customHeight="1" thickBot="1" x14ac:dyDescent="0.3">
      <c r="A229" s="1"/>
      <c r="B229" s="1"/>
      <c r="C229" s="122"/>
      <c r="E229" s="122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250"/>
      <c r="X229" s="250"/>
    </row>
    <row r="230" spans="1:34" x14ac:dyDescent="0.25">
      <c r="A230" s="405" t="s">
        <v>185</v>
      </c>
      <c r="B230" s="406"/>
      <c r="C230" s="312"/>
      <c r="D230" s="312"/>
      <c r="E230" s="312"/>
      <c r="F230" s="123"/>
      <c r="G230" s="123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74"/>
      <c r="W230" s="374"/>
      <c r="X230" s="374"/>
      <c r="Y230" s="123"/>
      <c r="Z230" s="123"/>
      <c r="AA230" s="123"/>
      <c r="AB230" s="123"/>
      <c r="AC230" s="123"/>
      <c r="AD230" s="123"/>
      <c r="AE230" s="123"/>
      <c r="AF230" s="123"/>
      <c r="AG230" s="123"/>
    </row>
    <row r="231" spans="1:34" x14ac:dyDescent="0.25">
      <c r="A231" s="645" t="s">
        <v>525</v>
      </c>
      <c r="B231" s="571" t="s">
        <v>452</v>
      </c>
      <c r="C231" s="572" t="s">
        <v>7</v>
      </c>
      <c r="D231" s="646">
        <v>31.52</v>
      </c>
      <c r="E231" s="564" t="s">
        <v>7</v>
      </c>
      <c r="F231" s="647">
        <v>7850</v>
      </c>
      <c r="G231" s="565">
        <v>1</v>
      </c>
      <c r="H231" s="756">
        <f>$H$277/1000*D231</f>
        <v>24.86928</v>
      </c>
      <c r="I231" s="757"/>
      <c r="J231" s="757"/>
      <c r="K231" s="575">
        <f>0.022*D231</f>
        <v>0.69343999999999995</v>
      </c>
      <c r="L231" s="650">
        <f>($L$277/2)/1000*D231</f>
        <v>0.19227199999999997</v>
      </c>
      <c r="M231" s="567"/>
      <c r="N231" s="649">
        <f>P231</f>
        <v>26.9562192</v>
      </c>
      <c r="O231" s="501"/>
      <c r="P231" s="576">
        <f>H231+K231+L231+T231+IF($X$1="included",X231,0)</f>
        <v>26.9562192</v>
      </c>
      <c r="Q231" s="501"/>
      <c r="R231" s="501"/>
      <c r="S231" s="501"/>
      <c r="T231" s="648">
        <f>$T$277/1000*D231</f>
        <v>1.2012271999999999</v>
      </c>
      <c r="U231" s="501"/>
      <c r="V231" s="501"/>
      <c r="W231" s="501"/>
      <c r="X231" s="577">
        <f>$X$277/1000*D231</f>
        <v>-9.4305397868882075</v>
      </c>
      <c r="Y231" s="651"/>
      <c r="Z231" s="569"/>
      <c r="AA231" s="568"/>
      <c r="AB231" s="569"/>
      <c r="AC231" s="569" t="s">
        <v>495</v>
      </c>
      <c r="AD231" s="110" t="s">
        <v>234</v>
      </c>
      <c r="AE231" s="110"/>
      <c r="AF231" s="110"/>
      <c r="AG231" s="110"/>
    </row>
    <row r="232" spans="1:34" x14ac:dyDescent="0.25">
      <c r="A232" s="329"/>
      <c r="B232" s="1" t="s">
        <v>453</v>
      </c>
      <c r="C232" s="233" t="s">
        <v>7</v>
      </c>
      <c r="D232" s="642">
        <v>36.71</v>
      </c>
      <c r="E232" s="231" t="s">
        <v>7</v>
      </c>
      <c r="F232" s="586">
        <v>7850</v>
      </c>
      <c r="G232" s="243">
        <v>1</v>
      </c>
      <c r="H232" s="754">
        <f>$H$277/1000*D232</f>
        <v>28.964190000000002</v>
      </c>
      <c r="I232" s="755"/>
      <c r="J232" s="755"/>
      <c r="K232" s="325">
        <f t="shared" ref="K232:K234" si="75">0.022*D232</f>
        <v>0.80762</v>
      </c>
      <c r="L232" s="284">
        <f>($L$277/2)/1000*D232</f>
        <v>0.22393099999999999</v>
      </c>
      <c r="M232" s="251"/>
      <c r="N232" s="328">
        <f t="shared" ref="N232:N235" si="76">P232</f>
        <v>31.394759100000002</v>
      </c>
      <c r="O232" s="235"/>
      <c r="P232" s="415">
        <f t="shared" ref="P232:P234" si="77">H232+K232+L232+T232+IF($X$1="included",X232,0)</f>
        <v>31.394759100000002</v>
      </c>
      <c r="Q232" s="235"/>
      <c r="R232" s="235"/>
      <c r="S232" s="235"/>
      <c r="T232" s="283">
        <f>$T$277/1000*D232</f>
        <v>1.3990180999999999</v>
      </c>
      <c r="U232" s="235"/>
      <c r="V232" s="235"/>
      <c r="W232" s="235"/>
      <c r="X232" s="237">
        <f>$X$277/1000*D232</f>
        <v>-10.983347575401844</v>
      </c>
      <c r="Y232" s="285"/>
      <c r="Z232" s="127"/>
      <c r="AA232" s="114"/>
      <c r="AB232" s="127"/>
      <c r="AC232" s="127" t="s">
        <v>495</v>
      </c>
      <c r="AD232" t="s">
        <v>234</v>
      </c>
    </row>
    <row r="233" spans="1:34" x14ac:dyDescent="0.25">
      <c r="A233" s="329"/>
      <c r="B233" s="1" t="s">
        <v>454</v>
      </c>
      <c r="C233" s="233" t="s">
        <v>7</v>
      </c>
      <c r="D233" s="642">
        <v>33.19</v>
      </c>
      <c r="E233" s="231" t="s">
        <v>7</v>
      </c>
      <c r="F233" s="586">
        <v>7850</v>
      </c>
      <c r="G233" s="243">
        <v>1</v>
      </c>
      <c r="H233" s="754">
        <f>$H$277/1000*D233</f>
        <v>26.186910000000001</v>
      </c>
      <c r="I233" s="755"/>
      <c r="J233" s="755"/>
      <c r="K233" s="325">
        <f t="shared" si="75"/>
        <v>0.73017999999999994</v>
      </c>
      <c r="L233" s="284">
        <f>($L$277/2)/1000*D233</f>
        <v>0.20245899999999997</v>
      </c>
      <c r="M233" s="251"/>
      <c r="N233" s="328">
        <f t="shared" si="76"/>
        <v>28.384419900000001</v>
      </c>
      <c r="O233" s="235"/>
      <c r="P233" s="415">
        <f t="shared" si="77"/>
        <v>28.384419900000001</v>
      </c>
      <c r="Q233" s="235"/>
      <c r="R233" s="235"/>
      <c r="S233" s="235"/>
      <c r="T233" s="283">
        <f>$T$277/1000*D233</f>
        <v>1.2648708999999998</v>
      </c>
      <c r="U233" s="235"/>
      <c r="V233" s="235"/>
      <c r="W233" s="235"/>
      <c r="X233" s="237">
        <f>$X$277/1000*D233</f>
        <v>-9.9301908479320939</v>
      </c>
      <c r="Y233" s="285"/>
      <c r="Z233" s="127"/>
      <c r="AA233" s="114"/>
      <c r="AB233" s="127"/>
      <c r="AC233" s="127" t="s">
        <v>495</v>
      </c>
      <c r="AD233" t="s">
        <v>234</v>
      </c>
    </row>
    <row r="234" spans="1:34" x14ac:dyDescent="0.25">
      <c r="A234" s="329"/>
      <c r="B234" s="1" t="s">
        <v>455</v>
      </c>
      <c r="C234" s="233" t="s">
        <v>7</v>
      </c>
      <c r="D234" s="642">
        <v>27.03</v>
      </c>
      <c r="E234" s="231" t="s">
        <v>7</v>
      </c>
      <c r="F234" s="586">
        <v>7850</v>
      </c>
      <c r="G234" s="243">
        <v>1</v>
      </c>
      <c r="H234" s="754">
        <f>$H$277/1000*D234</f>
        <v>21.326670000000004</v>
      </c>
      <c r="I234" s="755"/>
      <c r="J234" s="755"/>
      <c r="K234" s="325">
        <f t="shared" si="75"/>
        <v>0.59465999999999997</v>
      </c>
      <c r="L234" s="284">
        <f>($L$277/2)/1000*D234</f>
        <v>0.164883</v>
      </c>
      <c r="M234" s="251"/>
      <c r="N234" s="328">
        <f t="shared" si="76"/>
        <v>23.116326300000004</v>
      </c>
      <c r="O234" s="235"/>
      <c r="P234" s="415">
        <f t="shared" si="77"/>
        <v>23.116326300000004</v>
      </c>
      <c r="Q234" s="235"/>
      <c r="R234" s="235"/>
      <c r="S234" s="235"/>
      <c r="T234" s="283">
        <f>$T$277/1000*D234</f>
        <v>1.0301133</v>
      </c>
      <c r="U234" s="235"/>
      <c r="V234" s="235"/>
      <c r="W234" s="235"/>
      <c r="X234" s="237">
        <f>$X$277/1000*D234</f>
        <v>-8.087166574860035</v>
      </c>
      <c r="Y234" s="285"/>
      <c r="Z234" s="127"/>
      <c r="AA234" s="114"/>
      <c r="AB234" s="127"/>
      <c r="AC234" s="127" t="s">
        <v>495</v>
      </c>
      <c r="AD234" t="s">
        <v>234</v>
      </c>
    </row>
    <row r="235" spans="1:34" x14ac:dyDescent="0.25">
      <c r="A235" s="329"/>
      <c r="B235" s="1" t="s">
        <v>456</v>
      </c>
      <c r="C235" s="233" t="s">
        <v>7</v>
      </c>
      <c r="D235" s="642">
        <v>15.16</v>
      </c>
      <c r="E235" s="231" t="s">
        <v>7</v>
      </c>
      <c r="F235" s="586">
        <v>7850</v>
      </c>
      <c r="G235" s="243">
        <v>1</v>
      </c>
      <c r="H235" s="755">
        <f>$H$277/1000*D235</f>
        <v>11.96124</v>
      </c>
      <c r="I235" s="755"/>
      <c r="J235" s="755"/>
      <c r="K235" s="325">
        <f t="shared" ref="K235" si="78">0.022*D235</f>
        <v>0.33351999999999998</v>
      </c>
      <c r="L235" s="284">
        <f>($L$277/2)/1000*D235</f>
        <v>9.2475999999999989E-2</v>
      </c>
      <c r="M235" s="251"/>
      <c r="N235" s="328">
        <f t="shared" si="76"/>
        <v>12.9649836</v>
      </c>
      <c r="O235" s="235"/>
      <c r="P235" s="415">
        <f t="shared" ref="P235" si="79">H235+K235+L235+T235+IF($X$1="included",X235,0)</f>
        <v>12.9649836</v>
      </c>
      <c r="Q235" s="235"/>
      <c r="R235" s="235"/>
      <c r="S235" s="235"/>
      <c r="T235" s="283">
        <f>$T$277/1000*D235</f>
        <v>0.57774760000000003</v>
      </c>
      <c r="U235" s="235"/>
      <c r="V235" s="235"/>
      <c r="W235" s="235"/>
      <c r="X235" s="237">
        <f>$X$277/1000*D235</f>
        <v>-4.5357545421708512</v>
      </c>
      <c r="Y235" s="285"/>
      <c r="Z235" s="127"/>
      <c r="AA235" s="114"/>
      <c r="AB235" s="127"/>
      <c r="AC235" s="127" t="s">
        <v>495</v>
      </c>
      <c r="AD235" t="s">
        <v>234</v>
      </c>
    </row>
    <row r="236" spans="1:34" x14ac:dyDescent="0.25">
      <c r="A236" s="627"/>
      <c r="B236" s="447" t="s">
        <v>526</v>
      </c>
      <c r="C236" s="448"/>
      <c r="D236" s="449"/>
      <c r="E236" s="450" t="s">
        <v>7</v>
      </c>
      <c r="F236" s="451">
        <f>D236</f>
        <v>0</v>
      </c>
      <c r="G236" s="452">
        <f>F236</f>
        <v>0</v>
      </c>
      <c r="H236" s="453"/>
      <c r="I236" s="453"/>
      <c r="J236" s="453"/>
      <c r="K236" s="453"/>
      <c r="L236" s="453"/>
      <c r="M236" s="454"/>
      <c r="N236" s="453"/>
      <c r="O236" s="455"/>
      <c r="P236" s="455"/>
      <c r="Q236" s="455"/>
      <c r="R236" s="455"/>
      <c r="S236" s="455"/>
      <c r="T236" s="456"/>
      <c r="U236" s="455"/>
      <c r="V236" s="455"/>
      <c r="W236" s="455"/>
      <c r="X236" s="456"/>
      <c r="Y236" s="457">
        <v>0.57667944657442904</v>
      </c>
      <c r="Z236" s="458">
        <v>0.9609784507862551</v>
      </c>
      <c r="AA236" s="459"/>
      <c r="AB236" s="460"/>
      <c r="AC236" s="629"/>
      <c r="AD236" s="461" t="s">
        <v>186</v>
      </c>
      <c r="AE236" s="461"/>
      <c r="AF236" s="463"/>
      <c r="AG236" s="463"/>
    </row>
    <row r="237" spans="1:34" x14ac:dyDescent="0.25">
      <c r="A237" s="641" t="s">
        <v>187</v>
      </c>
      <c r="B237" s="1" t="s">
        <v>457</v>
      </c>
      <c r="C237" s="233" t="s">
        <v>7</v>
      </c>
      <c r="D237" s="642">
        <v>13.28</v>
      </c>
      <c r="E237" s="231" t="s">
        <v>7</v>
      </c>
      <c r="F237" s="586">
        <v>2700</v>
      </c>
      <c r="G237" s="243">
        <v>1</v>
      </c>
      <c r="H237" s="328">
        <f>$H$278/1000*D237</f>
        <v>108.89599999999999</v>
      </c>
      <c r="I237" s="235"/>
      <c r="J237" s="235"/>
      <c r="K237" s="325">
        <f t="shared" ref="K237:K239" si="80">0.022*D237</f>
        <v>0.29215999999999998</v>
      </c>
      <c r="L237" s="284">
        <f>($L$277/2)/1000*D237</f>
        <v>8.1007999999999983E-2</v>
      </c>
      <c r="M237" s="251"/>
      <c r="N237" s="328">
        <f>P237</f>
        <v>109.97154719999997</v>
      </c>
      <c r="O237" s="235"/>
      <c r="P237" s="415">
        <f>H237+K237+L237+T237+IF($X$1="included",X237,0)</f>
        <v>109.97154719999997</v>
      </c>
      <c r="Q237" s="235"/>
      <c r="R237" s="235"/>
      <c r="S237" s="235"/>
      <c r="T237" s="283">
        <f>$T$278/1000*D237</f>
        <v>0.70237919999999998</v>
      </c>
      <c r="U237" s="235"/>
      <c r="V237" s="235"/>
      <c r="W237" s="235"/>
      <c r="X237" s="237">
        <f>IF((Z237-Y237)&lt;0,(Z237-Y237)*-ModulCD!$B$77,(Z237*Y237)*ModulCD!$O$13)*D237</f>
        <v>-3.8269213845871994</v>
      </c>
      <c r="Y237" s="286">
        <v>0.57667944657442904</v>
      </c>
      <c r="Z237" s="239">
        <v>0.9609784507862551</v>
      </c>
      <c r="AA237" s="114"/>
      <c r="AB237" s="127"/>
      <c r="AC237" s="127" t="s">
        <v>495</v>
      </c>
      <c r="AD237" t="s">
        <v>234</v>
      </c>
      <c r="AF237" s="218" t="s">
        <v>188</v>
      </c>
      <c r="AG237" s="217"/>
    </row>
    <row r="238" spans="1:34" x14ac:dyDescent="0.25">
      <c r="A238" s="432"/>
      <c r="B238" s="1" t="s">
        <v>458</v>
      </c>
      <c r="C238" s="233" t="s">
        <v>7</v>
      </c>
      <c r="D238" s="642">
        <v>13.16</v>
      </c>
      <c r="E238" s="231" t="s">
        <v>7</v>
      </c>
      <c r="F238" s="586">
        <v>2700</v>
      </c>
      <c r="G238" s="243">
        <v>1</v>
      </c>
      <c r="H238" s="328">
        <f>$H$278/1000*D238</f>
        <v>107.91199999999999</v>
      </c>
      <c r="I238" s="235"/>
      <c r="J238" s="235"/>
      <c r="K238" s="325">
        <f t="shared" si="80"/>
        <v>0.28952</v>
      </c>
      <c r="L238" s="284">
        <f>($L$277/2)/1000*D238</f>
        <v>8.0276E-2</v>
      </c>
      <c r="M238" s="251"/>
      <c r="N238" s="328">
        <f t="shared" ref="N238:N239" si="81">P238</f>
        <v>108.97782839999999</v>
      </c>
      <c r="O238" s="235"/>
      <c r="P238" s="415">
        <f>H238+K238+L238+T238+IF($X$1="included",X238,0)</f>
        <v>108.97782839999999</v>
      </c>
      <c r="Q238" s="235"/>
      <c r="R238" s="235"/>
      <c r="S238" s="235"/>
      <c r="T238" s="283">
        <f>$T$278/1000*D238</f>
        <v>0.6960324</v>
      </c>
      <c r="U238" s="235"/>
      <c r="V238" s="235"/>
      <c r="W238" s="235"/>
      <c r="X238" s="237">
        <f>IF((Z238-Y238)&lt;0,(Z238-Y238)*-ModulCD!$B$77,(Z238*Y238)*ModulCD!$O$13)*D238</f>
        <v>-3.792340769666231</v>
      </c>
      <c r="Y238" s="286">
        <v>0.57667944657442904</v>
      </c>
      <c r="Z238" s="239">
        <v>0.9609784507862551</v>
      </c>
      <c r="AA238" s="114"/>
      <c r="AB238" s="127"/>
      <c r="AC238" s="127" t="s">
        <v>495</v>
      </c>
      <c r="AD238" t="s">
        <v>234</v>
      </c>
      <c r="AF238" s="240"/>
    </row>
    <row r="239" spans="1:34" x14ac:dyDescent="0.25">
      <c r="A239" s="120"/>
      <c r="B239" s="1" t="s">
        <v>459</v>
      </c>
      <c r="C239" s="233" t="s">
        <v>7</v>
      </c>
      <c r="D239" s="642">
        <v>12.11</v>
      </c>
      <c r="E239" s="231" t="s">
        <v>7</v>
      </c>
      <c r="F239" s="586">
        <v>2700</v>
      </c>
      <c r="G239" s="243">
        <v>1</v>
      </c>
      <c r="H239" s="328">
        <f>$H$278/1000*D239</f>
        <v>99.301999999999992</v>
      </c>
      <c r="I239" s="235"/>
      <c r="J239" s="235"/>
      <c r="K239" s="325">
        <f t="shared" si="80"/>
        <v>0.26641999999999999</v>
      </c>
      <c r="L239" s="284">
        <f>($L$277/2)/1000*D239</f>
        <v>7.3870999999999992E-2</v>
      </c>
      <c r="M239" s="251"/>
      <c r="N239" s="328">
        <f t="shared" si="81"/>
        <v>100.28278889999999</v>
      </c>
      <c r="O239" s="235"/>
      <c r="P239" s="415">
        <f>H239+K239+L239+T239+IF($X$1="included",X239,0)</f>
        <v>100.28278889999999</v>
      </c>
      <c r="Q239" s="235"/>
      <c r="R239" s="235"/>
      <c r="S239" s="235"/>
      <c r="T239" s="283">
        <f>$T$278/1000*D239</f>
        <v>0.64049789999999995</v>
      </c>
      <c r="U239" s="235"/>
      <c r="V239" s="235"/>
      <c r="W239" s="235"/>
      <c r="X239" s="237">
        <f>IF((Z239-Y239)&lt;0,(Z239-Y239)*-ModulCD!$B$77,(Z239*Y239)*ModulCD!$O$13)*D239</f>
        <v>-3.4897603891077549</v>
      </c>
      <c r="Y239" s="286">
        <v>0.57667944657442904</v>
      </c>
      <c r="Z239" s="239">
        <v>0.9609784507862551</v>
      </c>
      <c r="AA239" s="114"/>
      <c r="AB239" s="127"/>
      <c r="AC239" s="127" t="s">
        <v>495</v>
      </c>
      <c r="AD239" t="s">
        <v>234</v>
      </c>
      <c r="AF239" s="240"/>
    </row>
    <row r="240" spans="1:34" x14ac:dyDescent="0.25">
      <c r="A240" s="623"/>
      <c r="B240" s="341" t="s">
        <v>255</v>
      </c>
      <c r="C240" s="242"/>
      <c r="D240" s="342"/>
      <c r="E240" s="231" t="s">
        <v>7</v>
      </c>
      <c r="F240" s="9">
        <f>D240</f>
        <v>0</v>
      </c>
      <c r="G240" s="243">
        <f>F240</f>
        <v>0</v>
      </c>
      <c r="H240" s="343"/>
      <c r="I240" s="343"/>
      <c r="J240" s="343"/>
      <c r="K240" s="343"/>
      <c r="L240" s="343"/>
      <c r="M240" s="181"/>
      <c r="N240" s="343"/>
      <c r="O240" s="344"/>
      <c r="P240" s="344"/>
      <c r="Q240" s="344"/>
      <c r="R240" s="344"/>
      <c r="S240" s="344"/>
      <c r="T240" s="244"/>
      <c r="U240" s="344"/>
      <c r="V240" s="344"/>
      <c r="W240" s="344"/>
      <c r="X240" s="244"/>
      <c r="Y240" s="245">
        <v>0.57667944657442904</v>
      </c>
      <c r="Z240" s="246">
        <v>0.9609784507862551</v>
      </c>
      <c r="AA240" s="75"/>
      <c r="AB240" s="68"/>
      <c r="AC240" s="82"/>
      <c r="AD240" s="115" t="s">
        <v>186</v>
      </c>
      <c r="AE240" s="115"/>
      <c r="AF240" s="346"/>
    </row>
    <row r="241" spans="1:33" x14ac:dyDescent="0.25">
      <c r="A241" s="645" t="s">
        <v>189</v>
      </c>
      <c r="B241" s="571" t="s">
        <v>460</v>
      </c>
      <c r="C241" s="572" t="s">
        <v>7</v>
      </c>
      <c r="D241" s="646">
        <v>13.28</v>
      </c>
      <c r="E241" s="564" t="s">
        <v>7</v>
      </c>
      <c r="F241" s="647">
        <v>2700</v>
      </c>
      <c r="G241" s="565">
        <v>1</v>
      </c>
      <c r="H241" s="649">
        <f>$H$279/1000*D241</f>
        <v>110.6224</v>
      </c>
      <c r="I241" s="501"/>
      <c r="J241" s="501"/>
      <c r="K241" s="575">
        <f t="shared" ref="K241:K243" si="82">0.022*D241</f>
        <v>0.29215999999999998</v>
      </c>
      <c r="L241" s="650">
        <f>($L$277/2)/1000*D241</f>
        <v>8.1007999999999983E-2</v>
      </c>
      <c r="M241" s="567"/>
      <c r="N241" s="649">
        <f>P241</f>
        <v>111.69794719999999</v>
      </c>
      <c r="O241" s="501"/>
      <c r="P241" s="576">
        <f>H241+K241+L241+T241+IF($X$1="included",X241,0)</f>
        <v>111.69794719999999</v>
      </c>
      <c r="Q241" s="501"/>
      <c r="R241" s="501"/>
      <c r="S241" s="501"/>
      <c r="T241" s="648">
        <f>$T$279/1000*D241</f>
        <v>0.70237919999999998</v>
      </c>
      <c r="U241" s="501"/>
      <c r="V241" s="501"/>
      <c r="W241" s="501"/>
      <c r="X241" s="577">
        <f>IF(($Z$241-$Y$241)&lt;0,($Z$241-$Y$241)*-ModulCD!$B$77,($Z$241-$Y$241)*ModulCD!$O$13)*D241</f>
        <v>-2.6538152034851858</v>
      </c>
      <c r="Y241" s="286">
        <v>0.57667944657442904</v>
      </c>
      <c r="Z241" s="239">
        <v>0.9609784507862551</v>
      </c>
      <c r="AA241" s="568"/>
      <c r="AB241" s="569"/>
      <c r="AC241" s="569" t="s">
        <v>495</v>
      </c>
      <c r="AD241" s="110" t="s">
        <v>234</v>
      </c>
      <c r="AE241" s="110"/>
      <c r="AF241" s="110" t="s">
        <v>190</v>
      </c>
      <c r="AG241" s="110"/>
    </row>
    <row r="242" spans="1:33" x14ac:dyDescent="0.25">
      <c r="A242" s="120"/>
      <c r="B242" s="1" t="s">
        <v>461</v>
      </c>
      <c r="C242" s="233" t="s">
        <v>7</v>
      </c>
      <c r="D242" s="642">
        <v>13.16</v>
      </c>
      <c r="E242" s="231" t="s">
        <v>7</v>
      </c>
      <c r="F242" s="586">
        <v>2700</v>
      </c>
      <c r="G242" s="243">
        <v>1</v>
      </c>
      <c r="H242" s="328">
        <f>$H$279/1000*D242</f>
        <v>109.6228</v>
      </c>
      <c r="I242" s="235"/>
      <c r="J242" s="235"/>
      <c r="K242" s="325">
        <f t="shared" si="82"/>
        <v>0.28952</v>
      </c>
      <c r="L242" s="284">
        <f>($L$277/2)/1000*D242</f>
        <v>8.0276E-2</v>
      </c>
      <c r="M242" s="251"/>
      <c r="N242" s="328">
        <f t="shared" ref="N242:N243" si="83">P242</f>
        <v>110.6886284</v>
      </c>
      <c r="O242" s="235"/>
      <c r="P242" s="415">
        <f>H242+K242+L242+T242+IF($X$1="included",X242,0)</f>
        <v>110.6886284</v>
      </c>
      <c r="Q242" s="235"/>
      <c r="R242" s="235"/>
      <c r="S242" s="235"/>
      <c r="T242" s="283">
        <f>$T$279/1000*D242</f>
        <v>0.6960324</v>
      </c>
      <c r="U242" s="235"/>
      <c r="V242" s="235"/>
      <c r="W242" s="235"/>
      <c r="X242" s="237">
        <f>IF(($Z$241-$Y$241)&lt;0,($Z$241-$Y$241)*-ModulCD!$B$77,($Z$241-$Y$241)*ModulCD!$O$13)*D242</f>
        <v>-2.6298349456223682</v>
      </c>
      <c r="Y242" s="286">
        <v>0.57667944657442904</v>
      </c>
      <c r="Z242" s="239">
        <v>0.9609784507862551</v>
      </c>
      <c r="AA242" s="114"/>
      <c r="AB242" s="127"/>
      <c r="AC242" s="127" t="s">
        <v>495</v>
      </c>
      <c r="AD242" t="s">
        <v>234</v>
      </c>
    </row>
    <row r="243" spans="1:33" x14ac:dyDescent="0.25">
      <c r="A243" s="120"/>
      <c r="B243" s="1" t="s">
        <v>462</v>
      </c>
      <c r="C243" s="233" t="s">
        <v>7</v>
      </c>
      <c r="D243" s="642">
        <v>12.11</v>
      </c>
      <c r="E243" s="231" t="s">
        <v>7</v>
      </c>
      <c r="F243" s="586">
        <v>2700</v>
      </c>
      <c r="G243" s="243">
        <v>1</v>
      </c>
      <c r="H243" s="328">
        <f>$H$279/1000*D243</f>
        <v>100.8763</v>
      </c>
      <c r="I243" s="235"/>
      <c r="J243" s="235"/>
      <c r="K243" s="325">
        <f t="shared" si="82"/>
        <v>0.26641999999999999</v>
      </c>
      <c r="L243" s="284">
        <f>($L$277/2)/1000*D243</f>
        <v>7.3870999999999992E-2</v>
      </c>
      <c r="M243" s="251"/>
      <c r="N243" s="328">
        <f t="shared" si="83"/>
        <v>101.85708889999999</v>
      </c>
      <c r="O243" s="235"/>
      <c r="P243" s="415">
        <f>H243+K243+L243+T243+IF($X$1="included",X243,0)</f>
        <v>101.85708889999999</v>
      </c>
      <c r="Q243" s="235"/>
      <c r="R243" s="235"/>
      <c r="S243" s="235"/>
      <c r="T243" s="283">
        <f>$T$279/1000*D243</f>
        <v>0.64049789999999995</v>
      </c>
      <c r="U243" s="235"/>
      <c r="V243" s="235"/>
      <c r="W243" s="235"/>
      <c r="X243" s="237">
        <f>IF(($Z$241-$Y$241)&lt;0,($Z$241-$Y$241)*-ModulCD!$B$77,($Z$241-$Y$241)*ModulCD!$O$13)*D243</f>
        <v>-2.4200076893227109</v>
      </c>
      <c r="Y243" s="286">
        <v>0.57667944657442904</v>
      </c>
      <c r="Z243" s="239">
        <v>0.9609784507862551</v>
      </c>
      <c r="AA243" s="114"/>
      <c r="AB243" s="127"/>
      <c r="AC243" s="127" t="s">
        <v>495</v>
      </c>
      <c r="AD243" t="s">
        <v>234</v>
      </c>
    </row>
    <row r="244" spans="1:33" x14ac:dyDescent="0.25">
      <c r="A244" s="627"/>
      <c r="B244" s="447" t="s">
        <v>254</v>
      </c>
      <c r="C244" s="448"/>
      <c r="D244" s="449"/>
      <c r="E244" s="450" t="s">
        <v>7</v>
      </c>
      <c r="F244" s="451">
        <f>D244</f>
        <v>0</v>
      </c>
      <c r="G244" s="452">
        <f>F244</f>
        <v>0</v>
      </c>
      <c r="H244" s="453"/>
      <c r="I244" s="453"/>
      <c r="J244" s="453"/>
      <c r="K244" s="453"/>
      <c r="L244" s="453"/>
      <c r="M244" s="454"/>
      <c r="N244" s="453"/>
      <c r="O244" s="455"/>
      <c r="P244" s="455"/>
      <c r="Q244" s="455"/>
      <c r="R244" s="455"/>
      <c r="S244" s="455"/>
      <c r="T244" s="456"/>
      <c r="U244" s="455"/>
      <c r="V244" s="455"/>
      <c r="W244" s="455"/>
      <c r="X244" s="456"/>
      <c r="Y244" s="457"/>
      <c r="Z244" s="458"/>
      <c r="AA244" s="459"/>
      <c r="AB244" s="460"/>
      <c r="AC244" s="629"/>
      <c r="AD244" s="461"/>
      <c r="AE244" s="461"/>
      <c r="AF244" s="462"/>
      <c r="AG244" s="463"/>
    </row>
    <row r="245" spans="1:33" x14ac:dyDescent="0.25">
      <c r="A245" s="641" t="s">
        <v>252</v>
      </c>
      <c r="B245" s="1" t="s">
        <v>250</v>
      </c>
      <c r="C245" s="168" t="s">
        <v>7</v>
      </c>
      <c r="D245" s="643"/>
      <c r="E245" s="231" t="s">
        <v>7</v>
      </c>
      <c r="F245" s="644">
        <v>0.05</v>
      </c>
      <c r="G245" s="243">
        <v>1</v>
      </c>
      <c r="H245" s="338">
        <f>H$131*$F$245</f>
        <v>-34.800000000000004</v>
      </c>
      <c r="I245" s="338"/>
      <c r="J245" s="338"/>
      <c r="K245" s="199">
        <f>K$131*$F$245</f>
        <v>0.44650000000000001</v>
      </c>
      <c r="L245" s="199">
        <f>L$131*$F$245</f>
        <v>0.27884999999999999</v>
      </c>
      <c r="M245" s="199"/>
      <c r="N245" s="338">
        <f>P245</f>
        <v>4.4132426666666564</v>
      </c>
      <c r="O245" s="338"/>
      <c r="P245" s="199">
        <f>P$131*$F$245</f>
        <v>4.4132426666666564</v>
      </c>
      <c r="Q245" s="338"/>
      <c r="R245" s="338"/>
      <c r="S245" s="338"/>
      <c r="T245" s="199">
        <f>T$131*$F$245</f>
        <v>38.48789266666666</v>
      </c>
      <c r="U245" s="338"/>
      <c r="V245" s="338"/>
      <c r="W245" s="338"/>
      <c r="X245" s="199">
        <f>X$131*$F$245</f>
        <v>-1.2953429399398775</v>
      </c>
      <c r="Y245" s="114"/>
      <c r="Z245" s="127"/>
      <c r="AA245" s="114"/>
      <c r="AB245" s="127"/>
      <c r="AC245" s="127"/>
    </row>
    <row r="246" spans="1:33" x14ac:dyDescent="0.25">
      <c r="A246" s="120"/>
      <c r="B246" s="1" t="s">
        <v>251</v>
      </c>
      <c r="C246" s="168" t="s">
        <v>7</v>
      </c>
      <c r="D246" s="643"/>
      <c r="E246" s="231" t="s">
        <v>7</v>
      </c>
      <c r="F246" s="644">
        <f>F245*1.3/1.1</f>
        <v>5.909090909090909E-2</v>
      </c>
      <c r="G246" s="243">
        <v>1</v>
      </c>
      <c r="H246" s="338">
        <f>H$131*$F$246</f>
        <v>-41.127272727272725</v>
      </c>
      <c r="I246" s="338"/>
      <c r="J246" s="338"/>
      <c r="K246" s="199">
        <f>K$131*$F$246</f>
        <v>0.52768181818181814</v>
      </c>
      <c r="L246" s="199">
        <f>L$131*$F$246</f>
        <v>0.32955000000000001</v>
      </c>
      <c r="M246" s="199"/>
      <c r="N246" s="338">
        <f>P246</f>
        <v>5.215650424242412</v>
      </c>
      <c r="O246" s="338"/>
      <c r="P246" s="199">
        <f>P$131*$F$246</f>
        <v>5.215650424242412</v>
      </c>
      <c r="Q246" s="338"/>
      <c r="R246" s="338"/>
      <c r="S246" s="338"/>
      <c r="T246" s="199">
        <f>T$131*$F$246</f>
        <v>45.485691333333321</v>
      </c>
      <c r="U246" s="338"/>
      <c r="V246" s="338"/>
      <c r="W246" s="338"/>
      <c r="X246" s="199">
        <f>X$131*$F$246</f>
        <v>-1.5308598381107641</v>
      </c>
      <c r="Y246" s="114"/>
      <c r="Z246" s="127"/>
      <c r="AA246" s="114"/>
      <c r="AB246" s="127"/>
      <c r="AC246" s="127"/>
    </row>
    <row r="247" spans="1:33" ht="15.75" thickBot="1" x14ac:dyDescent="0.3">
      <c r="A247" s="639"/>
      <c r="B247" s="348" t="s">
        <v>253</v>
      </c>
      <c r="C247" s="349"/>
      <c r="D247" s="350"/>
      <c r="E247" s="351" t="s">
        <v>7</v>
      </c>
      <c r="F247" s="352">
        <f>D247</f>
        <v>0</v>
      </c>
      <c r="G247" s="353">
        <f>F247</f>
        <v>0</v>
      </c>
      <c r="H247" s="354"/>
      <c r="I247" s="354"/>
      <c r="J247" s="354"/>
      <c r="K247" s="354"/>
      <c r="L247" s="354"/>
      <c r="M247" s="355"/>
      <c r="N247" s="354"/>
      <c r="O247" s="356"/>
      <c r="P247" s="356"/>
      <c r="Q247" s="356"/>
      <c r="R247" s="356"/>
      <c r="S247" s="356"/>
      <c r="T247" s="357"/>
      <c r="U247" s="356"/>
      <c r="V247" s="356"/>
      <c r="W247" s="356"/>
      <c r="X247" s="357"/>
      <c r="Y247" s="358"/>
      <c r="Z247" s="359"/>
      <c r="AA247" s="360"/>
      <c r="AB247" s="361"/>
      <c r="AC247" s="616"/>
      <c r="AD247" s="362"/>
      <c r="AE247" s="362"/>
      <c r="AF247" s="363"/>
      <c r="AG247" s="124"/>
    </row>
    <row r="248" spans="1:33" x14ac:dyDescent="0.25">
      <c r="A248" s="1"/>
      <c r="B248" s="1"/>
      <c r="C248" s="122"/>
      <c r="E248" s="122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S248" s="250"/>
      <c r="T248" s="250"/>
      <c r="U248" s="250"/>
      <c r="V248" s="250"/>
      <c r="W248" s="250"/>
      <c r="X248" s="250"/>
    </row>
    <row r="249" spans="1:33" x14ac:dyDescent="0.25">
      <c r="A249" s="1" t="s">
        <v>20</v>
      </c>
      <c r="B249" s="1"/>
      <c r="C249" s="122"/>
      <c r="E249" s="122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S249" s="250"/>
      <c r="T249" s="250"/>
      <c r="U249" s="250"/>
      <c r="V249" s="250"/>
      <c r="W249" s="250"/>
      <c r="X249" s="250"/>
    </row>
    <row r="250" spans="1:33" x14ac:dyDescent="0.25">
      <c r="A250" s="1"/>
      <c r="B250" s="571" t="s">
        <v>736</v>
      </c>
      <c r="C250" s="882" t="s">
        <v>106</v>
      </c>
      <c r="D250" s="573"/>
      <c r="E250" s="573" t="s">
        <v>468</v>
      </c>
      <c r="F250" s="647">
        <v>1200</v>
      </c>
      <c r="G250" s="881">
        <f>F250</f>
        <v>1200</v>
      </c>
      <c r="H250" s="574">
        <v>5.7939999999999996</v>
      </c>
      <c r="I250" s="566"/>
      <c r="J250" s="566"/>
      <c r="K250" s="566"/>
      <c r="L250" s="566"/>
      <c r="M250" s="567"/>
      <c r="N250" s="566"/>
      <c r="O250" s="566"/>
      <c r="P250" s="883">
        <f>H250+K250+L250+T250+IF($X$1="included",X250,0)</f>
        <v>9.1237139999999997</v>
      </c>
      <c r="Q250" s="574"/>
      <c r="R250" s="574"/>
      <c r="S250" s="574"/>
      <c r="T250" s="884">
        <f>3.326+0.003714</f>
        <v>3.3297140000000001</v>
      </c>
      <c r="U250" s="574"/>
      <c r="V250" s="574"/>
      <c r="W250" s="574"/>
      <c r="X250" s="885">
        <v>-0.93520000000000003</v>
      </c>
      <c r="Y250" s="111"/>
      <c r="Z250" s="111"/>
      <c r="AA250" s="886">
        <v>2023</v>
      </c>
      <c r="AB250" s="886">
        <v>2026</v>
      </c>
      <c r="AC250" s="110"/>
      <c r="AD250" s="110"/>
      <c r="AF250" t="s">
        <v>746</v>
      </c>
    </row>
    <row r="251" spans="1:33" ht="15.75" thickBot="1" x14ac:dyDescent="0.3">
      <c r="A251" s="639"/>
      <c r="B251" s="348" t="s">
        <v>735</v>
      </c>
      <c r="C251" s="349"/>
      <c r="D251" s="350"/>
      <c r="E251" s="351" t="s">
        <v>468</v>
      </c>
      <c r="F251" s="352" t="e">
        <f>#REF!</f>
        <v>#REF!</v>
      </c>
      <c r="G251" s="353" t="e">
        <f>D251/F251*100</f>
        <v>#REF!</v>
      </c>
      <c r="H251" s="354"/>
      <c r="I251" s="354"/>
      <c r="J251" s="354"/>
      <c r="K251" s="354"/>
      <c r="L251" s="354"/>
      <c r="M251" s="355"/>
      <c r="N251" s="354"/>
      <c r="O251" s="356"/>
      <c r="P251" s="356"/>
      <c r="Q251" s="356"/>
      <c r="R251" s="356"/>
      <c r="S251" s="356"/>
      <c r="T251" s="357"/>
      <c r="U251" s="356"/>
      <c r="V251" s="356"/>
      <c r="W251" s="356"/>
      <c r="X251" s="357"/>
      <c r="Y251" s="358"/>
      <c r="Z251" s="359"/>
      <c r="AA251" s="360"/>
      <c r="AB251" s="361"/>
      <c r="AC251" s="616"/>
      <c r="AD251" s="362"/>
      <c r="AE251" s="362"/>
      <c r="AF251" s="363"/>
      <c r="AG251" s="124"/>
    </row>
    <row r="252" spans="1:33" x14ac:dyDescent="0.25">
      <c r="A252" s="1"/>
      <c r="B252" s="1"/>
      <c r="C252" s="122"/>
      <c r="E252" s="122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250"/>
      <c r="X252" s="250"/>
    </row>
    <row r="253" spans="1:33" ht="15.75" thickBot="1" x14ac:dyDescent="0.3">
      <c r="A253" s="1"/>
      <c r="B253" s="1"/>
      <c r="C253" s="122"/>
      <c r="E253" s="122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S253" s="250"/>
      <c r="T253" s="250"/>
      <c r="U253" s="250"/>
      <c r="V253" s="250"/>
      <c r="W253" s="250"/>
      <c r="X253" s="250"/>
    </row>
    <row r="254" spans="1:33" x14ac:dyDescent="0.25">
      <c r="A254" s="661" t="s">
        <v>191</v>
      </c>
      <c r="B254" s="662"/>
      <c r="C254" s="663"/>
      <c r="D254" s="663"/>
      <c r="E254" s="663"/>
      <c r="F254" s="664"/>
      <c r="G254" s="664"/>
      <c r="H254" s="665"/>
      <c r="I254" s="665"/>
      <c r="J254" s="665"/>
      <c r="K254" s="665"/>
      <c r="L254" s="665"/>
      <c r="M254" s="665"/>
      <c r="N254" s="665"/>
      <c r="O254" s="665"/>
      <c r="P254" s="665"/>
      <c r="Q254" s="665"/>
      <c r="R254" s="665"/>
      <c r="S254" s="665"/>
      <c r="T254" s="665"/>
      <c r="U254" s="665"/>
      <c r="V254" s="665"/>
      <c r="W254" s="665"/>
      <c r="X254" s="665"/>
      <c r="Y254" s="664"/>
      <c r="Z254" s="664"/>
      <c r="AA254" s="664"/>
      <c r="AB254" s="664"/>
      <c r="AC254" s="664"/>
      <c r="AD254" s="664"/>
      <c r="AE254" s="666" t="s">
        <v>192</v>
      </c>
      <c r="AF254" s="664"/>
      <c r="AG254" s="664"/>
    </row>
    <row r="255" spans="1:33" s="1" customFormat="1" x14ac:dyDescent="0.25">
      <c r="A255" s="329"/>
      <c r="B255" s="21" t="s">
        <v>466</v>
      </c>
      <c r="C255" s="288" t="s">
        <v>9</v>
      </c>
      <c r="D255" s="652"/>
      <c r="E255" s="231" t="s">
        <v>468</v>
      </c>
      <c r="F255" s="586">
        <v>1920</v>
      </c>
      <c r="G255" s="223">
        <f>F255/1000</f>
        <v>1.92</v>
      </c>
      <c r="H255" s="414">
        <v>-47.573</v>
      </c>
      <c r="I255" s="235"/>
      <c r="J255" s="235"/>
      <c r="K255" s="335">
        <v>9.0060000000000002</v>
      </c>
      <c r="L255" s="335">
        <v>5.343</v>
      </c>
      <c r="M255" s="860">
        <v>-8.3550000000000004</v>
      </c>
      <c r="N255" s="653">
        <f t="shared" ref="N255" si="84">P255</f>
        <v>144.44499999999999</v>
      </c>
      <c r="O255" s="235"/>
      <c r="P255" s="415">
        <f t="shared" ref="P255" si="85">H255+K255+L255+T255+IF($X$1="included",X255,0)</f>
        <v>144.44499999999999</v>
      </c>
      <c r="Q255" s="235"/>
      <c r="R255" s="235"/>
      <c r="S255" s="235"/>
      <c r="T255" s="268">
        <f>2.033+221.539+0.001-45.904</f>
        <v>177.66899999999998</v>
      </c>
      <c r="U255" s="336"/>
      <c r="V255" s="336"/>
      <c r="W255" s="336"/>
      <c r="X255" s="237">
        <f>IF(($Z$241-$Y$241)&lt;0,($Z$241-$Y$241)*-ModulCD!$B$77,($Z$241-$Y$241)*ModulCD!$O$13)*D255</f>
        <v>0</v>
      </c>
      <c r="Y255" s="253">
        <v>0</v>
      </c>
      <c r="Z255" s="654">
        <v>0</v>
      </c>
      <c r="AA255" s="255">
        <v>2024</v>
      </c>
      <c r="AB255" s="289">
        <v>2029</v>
      </c>
      <c r="AC255" s="163" t="s">
        <v>657</v>
      </c>
      <c r="AD255" t="s">
        <v>734</v>
      </c>
      <c r="AF255" s="416" t="s">
        <v>755</v>
      </c>
      <c r="AG255" s="655"/>
    </row>
    <row r="256" spans="1:33" s="8" customFormat="1" ht="14.25" customHeight="1" x14ac:dyDescent="0.25">
      <c r="A256" s="656"/>
      <c r="B256" s="1" t="s">
        <v>451</v>
      </c>
      <c r="C256" s="288" t="s">
        <v>467</v>
      </c>
      <c r="D256" s="652"/>
      <c r="E256" s="231" t="s">
        <v>468</v>
      </c>
      <c r="F256" s="586">
        <v>152</v>
      </c>
      <c r="G256" s="94">
        <v>1</v>
      </c>
      <c r="H256" s="414">
        <v>177</v>
      </c>
      <c r="I256" s="414"/>
      <c r="J256" s="414"/>
      <c r="K256" s="414">
        <v>3.32</v>
      </c>
      <c r="L256" s="290">
        <v>22.1</v>
      </c>
      <c r="M256" s="250"/>
      <c r="N256" s="653">
        <f t="shared" ref="N256:N257" si="86">P256</f>
        <v>206.73099999999999</v>
      </c>
      <c r="O256" s="235"/>
      <c r="P256" s="415">
        <f t="shared" ref="P256:P257" si="87">H256+K256+L256+T256+IF($X$1="included",X256,0)</f>
        <v>206.73099999999999</v>
      </c>
      <c r="Q256" s="250"/>
      <c r="R256" s="250"/>
      <c r="S256" s="291"/>
      <c r="T256" s="934">
        <f>0.461+3.85</f>
        <v>4.3109999999999999</v>
      </c>
      <c r="U256" s="935"/>
      <c r="V256" s="935"/>
      <c r="W256" s="936"/>
      <c r="X256" s="292">
        <f>ModulCD!$O$16*F256</f>
        <v>0</v>
      </c>
      <c r="Y256" s="144"/>
      <c r="Z256" s="654">
        <v>0</v>
      </c>
      <c r="AA256" s="255">
        <v>2023</v>
      </c>
      <c r="AB256" s="289">
        <v>2028</v>
      </c>
      <c r="AC256" s="113"/>
      <c r="AD256" s="880"/>
      <c r="AF256" s="416" t="s">
        <v>556</v>
      </c>
      <c r="AG256" s="657"/>
    </row>
    <row r="257" spans="1:37" s="8" customFormat="1" ht="14.25" customHeight="1" x14ac:dyDescent="0.25">
      <c r="A257" s="656"/>
      <c r="B257" s="1" t="s">
        <v>463</v>
      </c>
      <c r="C257" s="224" t="s">
        <v>9</v>
      </c>
      <c r="D257" s="652"/>
      <c r="E257" s="231" t="s">
        <v>468</v>
      </c>
      <c r="F257" s="586">
        <v>2700</v>
      </c>
      <c r="G257" s="223">
        <f>F257/1000</f>
        <v>2.7</v>
      </c>
      <c r="H257" s="414">
        <v>5040</v>
      </c>
      <c r="I257" s="414"/>
      <c r="J257" s="414"/>
      <c r="K257" s="325">
        <v>14.13</v>
      </c>
      <c r="L257" s="197"/>
      <c r="M257" s="250"/>
      <c r="N257" s="653">
        <f t="shared" si="86"/>
        <v>5061.66</v>
      </c>
      <c r="O257" s="235"/>
      <c r="P257" s="415">
        <f t="shared" si="87"/>
        <v>5061.66</v>
      </c>
      <c r="Q257" s="250"/>
      <c r="R257" s="250"/>
      <c r="S257" s="291"/>
      <c r="T257" s="269">
        <f>(5.94*10^(-3)+1.59*10^(-3))*1000</f>
        <v>7.5300000000000011</v>
      </c>
      <c r="U257" s="269"/>
      <c r="V257" s="269"/>
      <c r="W257" s="269"/>
      <c r="X257" s="292">
        <f>IF((Z257-Y257)&lt;0,(Z257-Y257)*-ModulCD!$B$76,(Z257-Y257)*ModulCD!$O$13*1000)</f>
        <v>-276.1087944088527</v>
      </c>
      <c r="Y257" s="658">
        <v>0.43</v>
      </c>
      <c r="Z257" s="654">
        <f>ModulCD!$F$13</f>
        <v>0.9609784507862551</v>
      </c>
      <c r="AA257" s="255">
        <v>2020</v>
      </c>
      <c r="AB257" s="289">
        <v>2025</v>
      </c>
      <c r="AC257" s="113" t="s">
        <v>464</v>
      </c>
      <c r="AD257" s="274" t="s">
        <v>465</v>
      </c>
      <c r="AE257"/>
      <c r="AF257" s="274" t="s">
        <v>496</v>
      </c>
      <c r="AG257" s="217"/>
      <c r="AH257"/>
      <c r="AI257"/>
      <c r="AJ257"/>
      <c r="AK257"/>
    </row>
    <row r="258" spans="1:37" s="1" customFormat="1" x14ac:dyDescent="0.25">
      <c r="A258" s="329"/>
      <c r="B258" s="21" t="s">
        <v>503</v>
      </c>
      <c r="C258" s="288" t="s">
        <v>467</v>
      </c>
      <c r="D258" s="652"/>
      <c r="E258" s="231" t="s">
        <v>468</v>
      </c>
      <c r="F258" s="586">
        <f>F138</f>
        <v>470</v>
      </c>
      <c r="G258" s="94">
        <v>1</v>
      </c>
      <c r="H258" s="326">
        <f>H138</f>
        <v>-642</v>
      </c>
      <c r="I258" s="326">
        <f>I138</f>
        <v>0</v>
      </c>
      <c r="J258" s="326">
        <f>J138</f>
        <v>0</v>
      </c>
      <c r="K258" s="326">
        <f>K138</f>
        <v>8.93</v>
      </c>
      <c r="L258" s="338">
        <f>L138</f>
        <v>5.577</v>
      </c>
      <c r="M258" s="287"/>
      <c r="N258" s="393">
        <f>P258</f>
        <v>140.31699999999989</v>
      </c>
      <c r="O258" s="326" t="str">
        <f t="shared" ref="O258:X258" si="88">O138</f>
        <v>* Achtung: B2 in m2 angegeben</v>
      </c>
      <c r="P258" s="394">
        <f t="shared" si="88"/>
        <v>140.31699999999989</v>
      </c>
      <c r="Q258" s="326">
        <f t="shared" si="88"/>
        <v>0</v>
      </c>
      <c r="R258" s="326">
        <f t="shared" si="88"/>
        <v>0</v>
      </c>
      <c r="S258" s="326">
        <f t="shared" si="88"/>
        <v>0</v>
      </c>
      <c r="T258" s="236">
        <f t="shared" si="88"/>
        <v>767.81</v>
      </c>
      <c r="U258" s="326">
        <f t="shared" si="88"/>
        <v>0</v>
      </c>
      <c r="V258" s="326">
        <f t="shared" si="88"/>
        <v>0</v>
      </c>
      <c r="W258" s="326">
        <f t="shared" si="88"/>
        <v>0</v>
      </c>
      <c r="X258" s="236">
        <f t="shared" si="88"/>
        <v>-25.906858798797547</v>
      </c>
      <c r="Y258" s="114"/>
      <c r="Z258" s="127"/>
      <c r="AA258" s="114"/>
      <c r="AB258" s="127"/>
      <c r="AC258" s="775"/>
    </row>
    <row r="259" spans="1:37" s="21" customFormat="1" ht="14.25" customHeight="1" x14ac:dyDescent="0.25">
      <c r="A259" s="871"/>
      <c r="B259" s="21" t="s">
        <v>527</v>
      </c>
      <c r="C259" s="168" t="s">
        <v>473</v>
      </c>
      <c r="D259" s="652"/>
      <c r="E259" s="231" t="s">
        <v>468</v>
      </c>
      <c r="F259" s="586">
        <v>2500</v>
      </c>
      <c r="G259" s="94">
        <v>1000</v>
      </c>
      <c r="H259" s="335">
        <v>3.06</v>
      </c>
      <c r="I259" s="336"/>
      <c r="J259" s="336"/>
      <c r="K259" s="335">
        <v>0.33</v>
      </c>
      <c r="L259" s="335">
        <v>1.9E-2</v>
      </c>
      <c r="M259" s="207"/>
      <c r="N259" s="653">
        <f t="shared" ref="N259" si="89">P259</f>
        <v>3.5174000000000003</v>
      </c>
      <c r="O259" s="190"/>
      <c r="P259" s="415">
        <f t="shared" ref="P259" si="90">H259+K259+L259+T259+IF($X$1="included",X259,0)</f>
        <v>3.5174000000000003</v>
      </c>
      <c r="Q259" s="336"/>
      <c r="R259" s="336"/>
      <c r="S259" s="336"/>
      <c r="T259" s="198">
        <f>0+0.0304+0.0446+0.0334</f>
        <v>0.1084</v>
      </c>
      <c r="U259" s="336"/>
      <c r="V259" s="336"/>
      <c r="W259" s="336"/>
      <c r="X259" s="40">
        <f>IF((Z259-Y259)&lt;0,(Z259-Y259)*-ModulCD!$B$77,(Z259-Y259)*ModulCD!$O$15)</f>
        <v>-0.38</v>
      </c>
      <c r="Y259" s="293">
        <v>0.1</v>
      </c>
      <c r="Z259" s="239">
        <v>0.9</v>
      </c>
      <c r="AA259" s="79">
        <v>2024</v>
      </c>
      <c r="AB259" s="65">
        <v>2029</v>
      </c>
      <c r="AC259" s="47" t="s">
        <v>450</v>
      </c>
      <c r="AE259" s="659"/>
      <c r="AF259" s="218" t="s">
        <v>497</v>
      </c>
      <c r="AG259" s="655"/>
    </row>
    <row r="260" spans="1:37" s="21" customFormat="1" ht="14.25" customHeight="1" x14ac:dyDescent="0.25">
      <c r="A260" s="871"/>
      <c r="B260" s="21" t="s">
        <v>528</v>
      </c>
      <c r="C260" s="168" t="s">
        <v>9</v>
      </c>
      <c r="D260" s="660"/>
      <c r="E260" s="231" t="s">
        <v>468</v>
      </c>
      <c r="F260" s="586">
        <v>1190</v>
      </c>
      <c r="G260" s="223">
        <f>F260/1000</f>
        <v>1.19</v>
      </c>
      <c r="H260" s="335">
        <f>4.28*1000</f>
        <v>4280</v>
      </c>
      <c r="I260" s="336"/>
      <c r="J260" s="336"/>
      <c r="K260" s="325">
        <v>14.13</v>
      </c>
      <c r="L260" s="638">
        <v>1.6419999999999999</v>
      </c>
      <c r="M260" s="207"/>
      <c r="N260" s="653">
        <f t="shared" ref="N260" si="91">P260</f>
        <v>4535.7719999999999</v>
      </c>
      <c r="O260" s="235"/>
      <c r="P260" s="415">
        <f>H260+K260+L260+T260+IF($X$1="included",X260,0)</f>
        <v>4535.7719999999999</v>
      </c>
      <c r="Q260" s="336"/>
      <c r="R260" s="336"/>
      <c r="S260" s="336"/>
      <c r="T260" s="221">
        <f>0.24*1000</f>
        <v>240</v>
      </c>
      <c r="U260" s="336"/>
      <c r="V260" s="336"/>
      <c r="W260" s="336"/>
      <c r="X260" s="222">
        <f>ModulCD!$O$12*1000</f>
        <v>-1482.9033203776062</v>
      </c>
      <c r="Y260" s="55">
        <v>0</v>
      </c>
      <c r="Z260" s="293">
        <v>0</v>
      </c>
      <c r="AA260" s="79">
        <v>2018</v>
      </c>
      <c r="AB260" s="65">
        <v>2023</v>
      </c>
      <c r="AC260" s="47" t="s">
        <v>449</v>
      </c>
      <c r="AE260" s="659"/>
      <c r="AF260" s="146" t="s">
        <v>557</v>
      </c>
    </row>
    <row r="261" spans="1:37" ht="15.75" thickBot="1" x14ac:dyDescent="0.3">
      <c r="A261" s="347"/>
      <c r="B261" s="348" t="s">
        <v>256</v>
      </c>
      <c r="C261" s="349"/>
      <c r="D261" s="350"/>
      <c r="E261" s="351" t="s">
        <v>468</v>
      </c>
      <c r="F261" s="352">
        <f>D261</f>
        <v>0</v>
      </c>
      <c r="G261" s="353">
        <f>F261</f>
        <v>0</v>
      </c>
      <c r="H261" s="354"/>
      <c r="I261" s="354"/>
      <c r="J261" s="354"/>
      <c r="K261" s="354"/>
      <c r="L261" s="354"/>
      <c r="M261" s="355"/>
      <c r="N261" s="354"/>
      <c r="O261" s="356"/>
      <c r="P261" s="356"/>
      <c r="Q261" s="356"/>
      <c r="R261" s="356"/>
      <c r="S261" s="356"/>
      <c r="T261" s="357"/>
      <c r="U261" s="356"/>
      <c r="V261" s="356"/>
      <c r="W261" s="356"/>
      <c r="X261" s="357"/>
      <c r="Y261" s="358"/>
      <c r="Z261" s="359" t="s">
        <v>658</v>
      </c>
      <c r="AA261" s="360"/>
      <c r="AB261" s="361"/>
      <c r="AC261" s="616"/>
      <c r="AD261" s="362"/>
      <c r="AE261" s="362"/>
      <c r="AF261" s="363"/>
      <c r="AG261" s="124"/>
    </row>
    <row r="262" spans="1:37" x14ac:dyDescent="0.25">
      <c r="A262" s="122"/>
      <c r="B262" s="418"/>
      <c r="C262" s="419"/>
      <c r="D262" s="419"/>
      <c r="E262" s="122"/>
      <c r="F262" s="9"/>
      <c r="H262" s="420"/>
      <c r="I262" s="420"/>
      <c r="J262" s="420"/>
      <c r="K262" s="420"/>
      <c r="L262" s="420"/>
      <c r="M262" s="420"/>
      <c r="N262" s="420"/>
      <c r="O262" s="421"/>
      <c r="P262" s="421"/>
      <c r="Q262" s="421"/>
      <c r="R262" s="421"/>
      <c r="S262" s="421"/>
      <c r="T262" s="421"/>
      <c r="U262" s="421"/>
      <c r="V262" s="421"/>
      <c r="W262" s="421"/>
      <c r="X262" s="421"/>
      <c r="Y262" s="422"/>
      <c r="Z262" s="422"/>
      <c r="AA262" s="345"/>
      <c r="AB262" s="345"/>
      <c r="AC262" s="345"/>
      <c r="AD262" s="125"/>
      <c r="AE262" s="125"/>
      <c r="AF262" s="423"/>
    </row>
    <row r="263" spans="1:37" s="10" customFormat="1" ht="18.75" x14ac:dyDescent="0.3">
      <c r="A263" s="10" t="s">
        <v>193</v>
      </c>
      <c r="B263" s="229"/>
      <c r="C263" s="299"/>
      <c r="D263" s="298"/>
      <c r="E263" s="300"/>
      <c r="F263" s="301"/>
      <c r="G263" s="302"/>
      <c r="H263" s="303"/>
      <c r="I263" s="304"/>
      <c r="J263" s="304"/>
      <c r="K263" s="303"/>
      <c r="L263" s="303"/>
      <c r="M263" s="305"/>
      <c r="N263" s="303"/>
      <c r="O263" s="304"/>
      <c r="P263" s="303"/>
      <c r="Q263" s="304"/>
      <c r="R263" s="304"/>
      <c r="S263" s="304"/>
      <c r="T263" s="305"/>
      <c r="U263" s="304"/>
      <c r="V263" s="304"/>
      <c r="W263" s="304"/>
      <c r="X263" s="305"/>
      <c r="Y263" s="306"/>
      <c r="Z263" s="302"/>
      <c r="AA263" s="306"/>
      <c r="AB263" s="302"/>
      <c r="AC263" s="302"/>
      <c r="AD263" s="229"/>
      <c r="AE263" s="229"/>
      <c r="AF263" s="229"/>
      <c r="AG263" s="229"/>
      <c r="AH263" s="229"/>
      <c r="AI263" s="229"/>
      <c r="AJ263" s="229"/>
    </row>
    <row r="264" spans="1:37" ht="15.75" thickBot="1" x14ac:dyDescent="0.3">
      <c r="B264" s="1"/>
      <c r="C264" s="233"/>
      <c r="E264" s="231"/>
      <c r="G264" s="243"/>
      <c r="H264" s="250"/>
      <c r="I264" s="235"/>
      <c r="J264" s="235"/>
      <c r="K264" s="250"/>
      <c r="L264" s="250"/>
      <c r="M264" s="251"/>
      <c r="N264" s="250"/>
      <c r="O264" s="235"/>
      <c r="P264" s="250"/>
      <c r="Q264" s="235"/>
      <c r="R264" s="235"/>
      <c r="S264" s="235"/>
      <c r="T264" s="251"/>
      <c r="U264" s="235"/>
      <c r="V264" s="235"/>
      <c r="W264" s="235"/>
      <c r="X264" s="251"/>
      <c r="Y264" s="114"/>
      <c r="Z264" s="127"/>
      <c r="AA264" s="114"/>
      <c r="AB264" s="127"/>
      <c r="AC264" s="127"/>
    </row>
    <row r="265" spans="1:37" x14ac:dyDescent="0.25">
      <c r="A265" s="405" t="s">
        <v>21</v>
      </c>
      <c r="B265" s="728" t="s">
        <v>712</v>
      </c>
      <c r="C265" s="365" t="s">
        <v>9</v>
      </c>
      <c r="D265" s="366"/>
      <c r="E265" s="367"/>
      <c r="F265" s="585">
        <v>2421</v>
      </c>
      <c r="G265" s="368"/>
      <c r="H265" s="369">
        <v>119.649</v>
      </c>
      <c r="I265" s="370"/>
      <c r="J265" s="370"/>
      <c r="K265" s="371">
        <v>10.664999999999999</v>
      </c>
      <c r="L265" s="369">
        <v>0.81</v>
      </c>
      <c r="M265" s="411">
        <v>-4.125</v>
      </c>
      <c r="N265" s="862"/>
      <c r="O265" s="314"/>
      <c r="P265" s="317">
        <f>H265+K265+L265+T265+IF($X$1="included",X265,0)</f>
        <v>140.86799999999999</v>
      </c>
      <c r="Q265" s="314"/>
      <c r="R265" s="314"/>
      <c r="S265" s="314"/>
      <c r="T265" s="375">
        <f>3.275+4.624+0.288+2.5-0.943</f>
        <v>9.7439999999999998</v>
      </c>
      <c r="U265" s="707"/>
      <c r="V265" s="707"/>
      <c r="W265" s="707"/>
      <c r="X265" s="708">
        <f>(Z265-Y265)*ModulCD!$O$3*1000</f>
        <v>0</v>
      </c>
      <c r="Y265" s="319">
        <v>0</v>
      </c>
      <c r="Z265" s="320">
        <v>0</v>
      </c>
      <c r="AA265" s="378">
        <v>2024</v>
      </c>
      <c r="AB265" s="379">
        <v>2029</v>
      </c>
      <c r="AC265" s="865" t="s">
        <v>717</v>
      </c>
      <c r="AD265" t="s">
        <v>731</v>
      </c>
      <c r="AE265" s="123"/>
      <c r="AF265" s="321" t="s">
        <v>756</v>
      </c>
      <c r="AG265" s="729"/>
      <c r="AI265" s="144"/>
      <c r="AJ265" s="144"/>
    </row>
    <row r="266" spans="1:37" x14ac:dyDescent="0.25">
      <c r="A266" s="120"/>
      <c r="B266" s="1" t="s">
        <v>713</v>
      </c>
      <c r="C266" s="233" t="s">
        <v>9</v>
      </c>
      <c r="E266" s="231"/>
      <c r="F266" s="586">
        <v>2410</v>
      </c>
      <c r="G266" s="243"/>
      <c r="H266" s="414">
        <v>127.08499999999999</v>
      </c>
      <c r="I266" s="235"/>
      <c r="J266" s="235"/>
      <c r="K266" s="414">
        <v>7.48</v>
      </c>
      <c r="L266" s="400">
        <v>0.52500000000000002</v>
      </c>
      <c r="M266" s="268">
        <v>-4.1130000000000004</v>
      </c>
      <c r="N266" s="863"/>
      <c r="O266" s="235"/>
      <c r="P266" s="328">
        <f>H266+K266+L266+T266+IF($X$1="included",X266,0)</f>
        <v>152.46100000000001</v>
      </c>
      <c r="Q266" s="235"/>
      <c r="R266" s="235"/>
      <c r="S266" s="235"/>
      <c r="T266" s="198">
        <f>3.275+4.621+0.279+10.134-0.938</f>
        <v>17.371000000000002</v>
      </c>
      <c r="U266" s="667"/>
      <c r="V266" s="667"/>
      <c r="W266" s="667"/>
      <c r="X266" s="40">
        <f>(Z266-Y266)*ModulCD!$O$3*1000</f>
        <v>0</v>
      </c>
      <c r="Y266" s="238">
        <v>0</v>
      </c>
      <c r="Z266" s="239">
        <v>0</v>
      </c>
      <c r="AA266" s="254">
        <v>2024</v>
      </c>
      <c r="AB266" s="255">
        <v>2029</v>
      </c>
      <c r="AC266" s="861" t="s">
        <v>717</v>
      </c>
      <c r="AD266" t="s">
        <v>731</v>
      </c>
      <c r="AF266" s="240" t="s">
        <v>756</v>
      </c>
      <c r="AG266" s="217"/>
    </row>
    <row r="267" spans="1:37" x14ac:dyDescent="0.25">
      <c r="A267" s="120"/>
      <c r="B267" s="1" t="s">
        <v>714</v>
      </c>
      <c r="C267" s="233" t="s">
        <v>9</v>
      </c>
      <c r="E267" s="231"/>
      <c r="F267" s="586">
        <v>620</v>
      </c>
      <c r="G267" s="243"/>
      <c r="H267" s="414">
        <v>-444.23599999999999</v>
      </c>
      <c r="I267" s="235"/>
      <c r="J267" s="235"/>
      <c r="K267" s="414">
        <v>22.105</v>
      </c>
      <c r="L267" s="400">
        <v>0.749</v>
      </c>
      <c r="M267" s="268">
        <v>-18.571999999999999</v>
      </c>
      <c r="N267" s="864"/>
      <c r="O267" s="235"/>
      <c r="P267" s="415">
        <f>H267+K267+L267+T267+IF($X$1="included",X267,0)</f>
        <v>91.357000000000085</v>
      </c>
      <c r="Q267" s="235"/>
      <c r="R267" s="235"/>
      <c r="S267" s="235"/>
      <c r="T267" s="198">
        <f>664.849-152.11</f>
        <v>512.73900000000003</v>
      </c>
      <c r="U267" s="667"/>
      <c r="V267" s="667"/>
      <c r="W267" s="667"/>
      <c r="X267" s="40">
        <f>(Z267-Y267)*ModulCD!$O$3*F267</f>
        <v>0</v>
      </c>
      <c r="Y267" s="238">
        <v>0</v>
      </c>
      <c r="Z267" s="239">
        <v>0</v>
      </c>
      <c r="AA267" s="254">
        <v>2024</v>
      </c>
      <c r="AB267" s="255">
        <v>2029</v>
      </c>
      <c r="AC267" s="861" t="s">
        <v>716</v>
      </c>
      <c r="AD267" t="s">
        <v>733</v>
      </c>
      <c r="AF267" s="274" t="s">
        <v>754</v>
      </c>
      <c r="AG267" s="217"/>
    </row>
    <row r="268" spans="1:37" x14ac:dyDescent="0.25">
      <c r="A268" s="120"/>
      <c r="B268" s="1" t="s">
        <v>715</v>
      </c>
      <c r="C268" s="233" t="s">
        <v>9</v>
      </c>
      <c r="E268" s="231"/>
      <c r="F268" s="586">
        <v>2186</v>
      </c>
      <c r="G268" s="243"/>
      <c r="H268" s="414">
        <v>57.451999999999998</v>
      </c>
      <c r="I268" s="235"/>
      <c r="J268" s="235"/>
      <c r="K268" s="414">
        <v>5.0549999999999997</v>
      </c>
      <c r="L268" s="400">
        <v>2.0579999999999998</v>
      </c>
      <c r="M268" s="268">
        <v>-5.7389999999999999</v>
      </c>
      <c r="N268" s="863"/>
      <c r="O268" s="235"/>
      <c r="P268" s="415">
        <f>H268+K268+L268+T268+IF($X$1="included",X268,0)</f>
        <v>72.17</v>
      </c>
      <c r="Q268" s="235"/>
      <c r="R268" s="235"/>
      <c r="S268" s="235"/>
      <c r="T268" s="198">
        <f>8.018-0.413</f>
        <v>7.6050000000000004</v>
      </c>
      <c r="U268" s="667"/>
      <c r="V268" s="667"/>
      <c r="W268" s="667"/>
      <c r="X268" s="40">
        <f>(Z268-Y268)*ModulCD!$O$14*F268</f>
        <v>0</v>
      </c>
      <c r="Y268" s="238">
        <v>0</v>
      </c>
      <c r="Z268" s="239">
        <v>0</v>
      </c>
      <c r="AA268" s="254">
        <v>2024</v>
      </c>
      <c r="AB268" s="255">
        <v>2029</v>
      </c>
      <c r="AC268" s="861" t="s">
        <v>716</v>
      </c>
      <c r="AD268" t="s">
        <v>733</v>
      </c>
      <c r="AF268" s="274" t="s">
        <v>754</v>
      </c>
      <c r="AG268" s="217"/>
    </row>
    <row r="269" spans="1:37" x14ac:dyDescent="0.25">
      <c r="A269" s="120"/>
      <c r="B269" s="1" t="s">
        <v>508</v>
      </c>
      <c r="C269" s="233" t="s">
        <v>9</v>
      </c>
      <c r="E269" s="231"/>
      <c r="F269" s="586">
        <v>2350</v>
      </c>
      <c r="G269" s="243"/>
      <c r="H269" s="414">
        <f>0.088*1000</f>
        <v>88</v>
      </c>
      <c r="I269" s="235"/>
      <c r="J269" s="235"/>
      <c r="K269" s="325">
        <v>14.13</v>
      </c>
      <c r="L269" s="331">
        <f>0.0821*1000</f>
        <v>82.100000000000009</v>
      </c>
      <c r="M269" s="251"/>
      <c r="N269" s="250"/>
      <c r="O269" s="235"/>
      <c r="P269" s="415">
        <f>H269+K269+L269+T269+IF($X$1="included",X269,0)</f>
        <v>189.77</v>
      </c>
      <c r="Q269" s="235"/>
      <c r="R269" s="235"/>
      <c r="S269" s="235"/>
      <c r="T269" s="198">
        <f>(0+2.94*10^-3+0.26*10^-2+0)*1000</f>
        <v>5.54</v>
      </c>
      <c r="U269" s="667"/>
      <c r="V269" s="667"/>
      <c r="W269" s="667"/>
      <c r="X269" s="40">
        <f>(Z269-Y269)*ModulCD!$O$3*1000</f>
        <v>0</v>
      </c>
      <c r="Y269" s="238">
        <v>0</v>
      </c>
      <c r="Z269" s="239">
        <v>0</v>
      </c>
      <c r="AA269" s="254">
        <v>2021</v>
      </c>
      <c r="AB269" s="255">
        <v>2026</v>
      </c>
      <c r="AC269" s="127"/>
      <c r="AF269" s="240" t="s">
        <v>498</v>
      </c>
      <c r="AG269" s="217"/>
    </row>
    <row r="270" spans="1:37" ht="15.75" thickBot="1" x14ac:dyDescent="0.3">
      <c r="A270" s="121"/>
      <c r="B270" s="348" t="s">
        <v>257</v>
      </c>
      <c r="C270" s="349"/>
      <c r="D270" s="350"/>
      <c r="E270" s="350"/>
      <c r="F270" s="352">
        <f>D270</f>
        <v>0</v>
      </c>
      <c r="G270" s="353">
        <f>F270</f>
        <v>0</v>
      </c>
      <c r="H270" s="354"/>
      <c r="I270" s="354"/>
      <c r="J270" s="354"/>
      <c r="K270" s="354"/>
      <c r="L270" s="354"/>
      <c r="M270" s="355"/>
      <c r="N270" s="354"/>
      <c r="O270" s="356"/>
      <c r="P270" s="356"/>
      <c r="Q270" s="356"/>
      <c r="R270" s="356"/>
      <c r="S270" s="356"/>
      <c r="T270" s="357"/>
      <c r="U270" s="356"/>
      <c r="V270" s="356"/>
      <c r="W270" s="356"/>
      <c r="X270" s="357"/>
      <c r="Y270" s="358"/>
      <c r="Z270" s="359"/>
      <c r="AA270" s="360"/>
      <c r="AB270" s="727"/>
      <c r="AC270" s="635"/>
      <c r="AD270" s="124"/>
      <c r="AE270" s="124"/>
      <c r="AF270" s="545"/>
      <c r="AG270" s="769"/>
    </row>
    <row r="271" spans="1:37" ht="15.75" thickBot="1" x14ac:dyDescent="0.3">
      <c r="A271" s="120"/>
      <c r="B271" s="1"/>
      <c r="C271" s="233"/>
      <c r="E271" s="231"/>
      <c r="F271" s="838"/>
      <c r="G271" s="243"/>
      <c r="H271" s="414"/>
      <c r="I271" s="235"/>
      <c r="J271" s="235"/>
      <c r="K271" s="325"/>
      <c r="L271" s="331"/>
      <c r="M271" s="251"/>
      <c r="N271" s="250"/>
      <c r="O271" s="235"/>
      <c r="P271" s="415"/>
      <c r="Q271" s="235"/>
      <c r="R271" s="235"/>
      <c r="S271" s="235"/>
      <c r="T271" s="198"/>
      <c r="U271" s="667"/>
      <c r="V271" s="667"/>
      <c r="W271" s="667"/>
      <c r="X271" s="40"/>
      <c r="Y271" s="238"/>
      <c r="Z271" s="239"/>
      <c r="AA271" s="254"/>
      <c r="AB271" s="255"/>
      <c r="AC271" s="127"/>
      <c r="AF271" s="240"/>
      <c r="AG271" s="217"/>
    </row>
    <row r="272" spans="1:37" x14ac:dyDescent="0.25">
      <c r="A272" s="405" t="s">
        <v>531</v>
      </c>
      <c r="B272" s="406" t="s">
        <v>693</v>
      </c>
      <c r="C272" s="837" t="s">
        <v>9</v>
      </c>
      <c r="D272" s="312" t="e">
        <f>#REF!</f>
        <v>#REF!</v>
      </c>
      <c r="E272" s="313" t="s">
        <v>468</v>
      </c>
      <c r="F272" s="839" t="e">
        <f>D272/1000</f>
        <v>#REF!</v>
      </c>
      <c r="G272" s="368" t="e">
        <f>F272</f>
        <v>#REF!</v>
      </c>
      <c r="H272" s="371">
        <v>439</v>
      </c>
      <c r="I272" s="314"/>
      <c r="J272" s="314"/>
      <c r="K272" s="315">
        <f>K92</f>
        <v>55.06</v>
      </c>
      <c r="L272" s="316">
        <v>12.2</v>
      </c>
      <c r="M272" s="372"/>
      <c r="N272" s="374"/>
      <c r="O272" s="314"/>
      <c r="P272" s="410">
        <f>H272+K272+L272+T272+IF($X$1="included",X272,0)</f>
        <v>579.13</v>
      </c>
      <c r="Q272" s="314"/>
      <c r="R272" s="314"/>
      <c r="S272" s="314"/>
      <c r="T272" s="411">
        <f>(43+26.3+1.34+2.23)</f>
        <v>72.87</v>
      </c>
      <c r="U272" s="707"/>
      <c r="V272" s="707"/>
      <c r="W272" s="707"/>
      <c r="X272" s="708">
        <f>IF((Z272-Y272)&lt;0,(Z272-Y272)*-ModulCD!$B$44*1000,(Z272-Y272)*ModulCD!$O$5*1000)</f>
        <v>28.124101499006713</v>
      </c>
      <c r="Y272" s="377">
        <v>0.90900000000000003</v>
      </c>
      <c r="Z272" s="320">
        <v>0.85786527000180601</v>
      </c>
      <c r="AA272" s="378">
        <v>2023</v>
      </c>
      <c r="AB272" s="379">
        <v>2028</v>
      </c>
      <c r="AC272" s="429"/>
      <c r="AD272" s="123"/>
      <c r="AE272" s="123"/>
      <c r="AF272" s="840" t="s">
        <v>695</v>
      </c>
      <c r="AG272" s="381"/>
    </row>
    <row r="273" spans="1:33" x14ac:dyDescent="0.25">
      <c r="A273" s="417"/>
      <c r="B273" s="1" t="s">
        <v>694</v>
      </c>
      <c r="C273" s="233" t="s">
        <v>9</v>
      </c>
      <c r="D273" s="122" t="e">
        <f>#REF!</f>
        <v>#REF!</v>
      </c>
      <c r="E273" s="231" t="s">
        <v>468</v>
      </c>
      <c r="F273" s="841" t="e">
        <f>D273/1000</f>
        <v>#REF!</v>
      </c>
      <c r="G273" s="243" t="e">
        <f>F273</f>
        <v>#REF!</v>
      </c>
      <c r="H273" s="414">
        <v>368</v>
      </c>
      <c r="I273" s="235"/>
      <c r="J273" s="235"/>
      <c r="K273" s="325">
        <f>K272</f>
        <v>55.06</v>
      </c>
      <c r="L273" s="400">
        <v>11</v>
      </c>
      <c r="M273" s="251"/>
      <c r="N273" s="250"/>
      <c r="O273" s="235"/>
      <c r="P273" s="415">
        <f>H273+K273+L273+T273+IF($X$1="included",X273,0)</f>
        <v>455.32799999999997</v>
      </c>
      <c r="Q273" s="235"/>
      <c r="R273" s="235"/>
      <c r="S273" s="235"/>
      <c r="T273" s="269">
        <f>4.26+16.2+0.808</f>
        <v>21.268000000000001</v>
      </c>
      <c r="U273" s="667"/>
      <c r="V273" s="667"/>
      <c r="W273" s="667"/>
      <c r="X273" s="40">
        <f>IF((Z273-Y273)&lt;0,(Z273-Y273)*-ModulCD!$B$44*1000,(Z273-Y273)*ModulCD!$O$5*1000)</f>
        <v>-408.57589850099333</v>
      </c>
      <c r="Y273" s="253">
        <v>0.115</v>
      </c>
      <c r="Z273" s="239">
        <v>0.85786527000180601</v>
      </c>
      <c r="AA273" s="254">
        <v>2023</v>
      </c>
      <c r="AB273" s="255">
        <v>2028</v>
      </c>
      <c r="AC273" s="127"/>
      <c r="AF273" s="842" t="s">
        <v>695</v>
      </c>
      <c r="AG273" s="217"/>
    </row>
    <row r="274" spans="1:33" ht="15.75" thickBot="1" x14ac:dyDescent="0.3">
      <c r="A274" s="121"/>
      <c r="B274" s="348" t="s">
        <v>532</v>
      </c>
      <c r="C274" s="349"/>
      <c r="D274" s="350"/>
      <c r="E274" s="351" t="s">
        <v>468</v>
      </c>
      <c r="F274" s="771" t="e">
        <f>F273</f>
        <v>#REF!</v>
      </c>
      <c r="G274" s="353" t="e">
        <f>F274</f>
        <v>#REF!</v>
      </c>
      <c r="H274" s="354"/>
      <c r="I274" s="354"/>
      <c r="J274" s="354"/>
      <c r="K274" s="354"/>
      <c r="L274" s="354"/>
      <c r="M274" s="355"/>
      <c r="N274" s="354"/>
      <c r="O274" s="356"/>
      <c r="P274" s="356"/>
      <c r="Q274" s="356"/>
      <c r="R274" s="356"/>
      <c r="S274" s="356"/>
      <c r="T274" s="357"/>
      <c r="U274" s="356"/>
      <c r="V274" s="356"/>
      <c r="W274" s="356"/>
      <c r="X274" s="357"/>
      <c r="Y274" s="358"/>
      <c r="Z274" s="359"/>
      <c r="AA274" s="360"/>
      <c r="AB274" s="361"/>
      <c r="AC274" s="616"/>
      <c r="AD274" s="362"/>
      <c r="AE274" s="362"/>
      <c r="AF274" s="843"/>
      <c r="AG274" s="124"/>
    </row>
    <row r="275" spans="1:33" ht="15.75" thickBot="1" x14ac:dyDescent="0.3">
      <c r="B275" s="418"/>
      <c r="C275" s="419"/>
      <c r="D275" s="419"/>
      <c r="E275" s="419"/>
      <c r="F275" s="9"/>
      <c r="H275" s="420"/>
      <c r="I275" s="420"/>
      <c r="J275" s="420"/>
      <c r="K275" s="420"/>
      <c r="L275" s="420"/>
      <c r="M275" s="420"/>
      <c r="N275" s="420"/>
      <c r="O275" s="421"/>
      <c r="P275" s="421"/>
      <c r="Q275" s="421"/>
      <c r="R275" s="421"/>
      <c r="S275" s="421"/>
      <c r="T275" s="421"/>
      <c r="U275" s="421"/>
      <c r="V275" s="421"/>
      <c r="W275" s="421"/>
      <c r="X275" s="421"/>
      <c r="Y275" s="422"/>
      <c r="Z275" s="422"/>
      <c r="AA275" s="345"/>
      <c r="AB275" s="345"/>
      <c r="AC275" s="345"/>
      <c r="AD275" s="125"/>
      <c r="AE275" s="125"/>
      <c r="AF275" s="423"/>
    </row>
    <row r="276" spans="1:33" x14ac:dyDescent="0.25">
      <c r="A276" s="661" t="s">
        <v>194</v>
      </c>
      <c r="B276" s="662"/>
      <c r="C276" s="663"/>
      <c r="D276" s="663"/>
      <c r="E276" s="663"/>
      <c r="F276" s="664"/>
      <c r="G276" s="664"/>
      <c r="H276" s="665"/>
      <c r="I276" s="665"/>
      <c r="J276" s="665"/>
      <c r="K276" s="665"/>
      <c r="L276" s="665"/>
      <c r="M276" s="665"/>
      <c r="N276" s="665"/>
      <c r="O276" s="665"/>
      <c r="P276" s="665"/>
      <c r="Q276" s="665"/>
      <c r="R276" s="665"/>
      <c r="S276" s="665"/>
      <c r="T276" s="704"/>
      <c r="U276" s="704"/>
      <c r="V276" s="704"/>
      <c r="W276" s="704"/>
      <c r="X276" s="704"/>
      <c r="Y276" s="664"/>
      <c r="Z276" s="664"/>
      <c r="AA276" s="664"/>
      <c r="AB276" s="664"/>
      <c r="AC276" s="664"/>
      <c r="AD276" s="666"/>
      <c r="AE276" s="664"/>
      <c r="AF276" s="664"/>
      <c r="AG276" s="664"/>
    </row>
    <row r="277" spans="1:33" x14ac:dyDescent="0.25">
      <c r="A277" s="432"/>
      <c r="B277" s="1" t="s">
        <v>195</v>
      </c>
      <c r="C277" s="165" t="s">
        <v>9</v>
      </c>
      <c r="E277" s="231"/>
      <c r="F277" s="586">
        <v>7850</v>
      </c>
      <c r="G277" s="243"/>
      <c r="H277" s="414">
        <f>H98</f>
        <v>789</v>
      </c>
      <c r="I277" s="235"/>
      <c r="J277" s="235"/>
      <c r="K277" s="444">
        <f>K98</f>
        <v>55.06</v>
      </c>
      <c r="L277" s="326">
        <f>L98</f>
        <v>12.2</v>
      </c>
      <c r="M277" s="251"/>
      <c r="N277" s="250"/>
      <c r="O277" s="235"/>
      <c r="P277" s="415">
        <f>H277+K277+L277+T277+IF($X$1="included",X277,0)</f>
        <v>894.37</v>
      </c>
      <c r="Q277" s="235"/>
      <c r="R277" s="235"/>
      <c r="S277" s="235"/>
      <c r="T277" s="268">
        <f t="shared" ref="T277:AC277" si="92">T98</f>
        <v>38.11</v>
      </c>
      <c r="U277" s="667"/>
      <c r="V277" s="667"/>
      <c r="W277" s="667"/>
      <c r="X277" s="40">
        <f t="shared" si="92"/>
        <v>-299.19225212208784</v>
      </c>
      <c r="Y277" s="58">
        <f t="shared" si="92"/>
        <v>0.35</v>
      </c>
      <c r="Z277" s="239">
        <f t="shared" si="92"/>
        <v>0.89398591294925056</v>
      </c>
      <c r="AA277" s="254">
        <f t="shared" si="92"/>
        <v>2024</v>
      </c>
      <c r="AB277" s="255">
        <f t="shared" si="92"/>
        <v>2029</v>
      </c>
      <c r="AC277" s="127" t="str">
        <f t="shared" si="92"/>
        <v>A4: Exceltabelle Abschätzung A4 Durchschnitt; A5 von Betonstahl Marienhütte übernommen</v>
      </c>
      <c r="AE277" s="240" t="str">
        <f>AE98</f>
        <v>wobei in Phase C4 Szenario 3: Europäischer Durchschnitt 88 % Recycling, 11 % Wiederverwendung und 1 % Verlust gewählt wurde</v>
      </c>
      <c r="AF277" s="240" t="str">
        <f>AF98</f>
        <v xml:space="preserve">EPD-BFS-20240011-IBG1-DE </v>
      </c>
      <c r="AG277" s="217"/>
    </row>
    <row r="278" spans="1:33" x14ac:dyDescent="0.25">
      <c r="A278" s="417"/>
      <c r="B278" s="1" t="s">
        <v>447</v>
      </c>
      <c r="C278" s="165" t="s">
        <v>9</v>
      </c>
      <c r="E278" s="231"/>
      <c r="F278" s="324"/>
      <c r="G278" s="243"/>
      <c r="H278" s="414">
        <v>8200</v>
      </c>
      <c r="I278" s="235"/>
      <c r="J278" s="235"/>
      <c r="K278" s="444">
        <f>$K$277</f>
        <v>55.06</v>
      </c>
      <c r="L278" s="326">
        <v>12.2</v>
      </c>
      <c r="M278" s="251"/>
      <c r="N278" s="250"/>
      <c r="O278" s="235"/>
      <c r="P278" s="415">
        <f t="shared" ref="P278:P279" si="93">H278+K278+L278+T278+IF($X$1="included",X278,0)</f>
        <v>8320.15</v>
      </c>
      <c r="Q278" s="235"/>
      <c r="R278" s="235"/>
      <c r="S278" s="235"/>
      <c r="T278" s="268">
        <f>(0+0.00238+0.0491+0.00141)*1000</f>
        <v>52.89</v>
      </c>
      <c r="U278" s="667"/>
      <c r="V278" s="667"/>
      <c r="W278" s="667"/>
      <c r="X278" s="198">
        <v>-4370</v>
      </c>
      <c r="Y278" s="58">
        <v>1</v>
      </c>
      <c r="Z278" s="239"/>
      <c r="AA278" s="254">
        <v>2022</v>
      </c>
      <c r="AB278" s="255">
        <v>2027</v>
      </c>
      <c r="AC278" s="127"/>
      <c r="AE278" s="240"/>
      <c r="AF278" s="218" t="s">
        <v>691</v>
      </c>
      <c r="AG278" s="217"/>
    </row>
    <row r="279" spans="1:33" ht="15.75" thickBot="1" x14ac:dyDescent="0.3">
      <c r="A279" s="632"/>
      <c r="B279" s="624" t="s">
        <v>448</v>
      </c>
      <c r="C279" s="718" t="s">
        <v>9</v>
      </c>
      <c r="D279" s="626"/>
      <c r="E279" s="351"/>
      <c r="F279" s="531">
        <v>2700</v>
      </c>
      <c r="G279" s="353"/>
      <c r="H279" s="835">
        <v>8330</v>
      </c>
      <c r="I279" s="538"/>
      <c r="J279" s="538"/>
      <c r="K279" s="719">
        <f>K278</f>
        <v>55.06</v>
      </c>
      <c r="L279" s="720">
        <v>12.2</v>
      </c>
      <c r="M279" s="633"/>
      <c r="N279" s="634"/>
      <c r="O279" s="538"/>
      <c r="P279" s="721">
        <f t="shared" si="93"/>
        <v>8450.15</v>
      </c>
      <c r="Q279" s="538"/>
      <c r="R279" s="538"/>
      <c r="S279" s="538"/>
      <c r="T279" s="836">
        <f>(0+0.00238+0.0491+0.00141)*1000</f>
        <v>52.89</v>
      </c>
      <c r="U279" s="723"/>
      <c r="V279" s="723"/>
      <c r="W279" s="723"/>
      <c r="X279" s="537">
        <f>X278</f>
        <v>-4370</v>
      </c>
      <c r="Y279" s="724"/>
      <c r="Z279" s="725"/>
      <c r="AA279" s="726">
        <v>2022</v>
      </c>
      <c r="AB279" s="727">
        <v>2027</v>
      </c>
      <c r="AC279" s="635"/>
      <c r="AD279" s="124"/>
      <c r="AE279" s="545"/>
      <c r="AF279" s="124" t="s">
        <v>692</v>
      </c>
      <c r="AG279" s="124"/>
    </row>
    <row r="280" spans="1:33" ht="15.75" thickBot="1" x14ac:dyDescent="0.3">
      <c r="B280" s="16"/>
      <c r="C280" s="668"/>
      <c r="E280" s="122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S280" s="250"/>
      <c r="T280" s="469"/>
      <c r="U280" s="469"/>
      <c r="V280" s="469"/>
      <c r="W280" s="469"/>
      <c r="X280" s="469"/>
      <c r="AE280" s="274"/>
    </row>
    <row r="281" spans="1:33" x14ac:dyDescent="0.25">
      <c r="A281" s="661" t="s">
        <v>196</v>
      </c>
      <c r="B281" s="662"/>
      <c r="C281" s="663"/>
      <c r="D281" s="663"/>
      <c r="E281" s="663"/>
      <c r="F281" s="664"/>
      <c r="G281" s="664"/>
      <c r="H281" s="665"/>
      <c r="I281" s="665"/>
      <c r="J281" s="665"/>
      <c r="K281" s="665"/>
      <c r="L281" s="665"/>
      <c r="M281" s="665"/>
      <c r="N281" s="665"/>
      <c r="O281" s="665"/>
      <c r="P281" s="665"/>
      <c r="Q281" s="665"/>
      <c r="R281" s="665"/>
      <c r="S281" s="665"/>
      <c r="T281" s="704"/>
      <c r="U281" s="704"/>
      <c r="V281" s="704"/>
      <c r="W281" s="704"/>
      <c r="X281" s="704"/>
      <c r="Y281" s="664"/>
      <c r="Z281" s="664"/>
      <c r="AA281" s="664"/>
      <c r="AB281" s="664"/>
      <c r="AC281" s="664"/>
      <c r="AD281" s="666"/>
      <c r="AE281" s="664"/>
      <c r="AF281" s="664"/>
      <c r="AG281" s="664"/>
    </row>
    <row r="282" spans="1:33" s="1" customFormat="1" x14ac:dyDescent="0.25">
      <c r="A282" s="329"/>
      <c r="B282" s="1" t="s">
        <v>197</v>
      </c>
      <c r="C282" s="233" t="s">
        <v>9</v>
      </c>
      <c r="D282" s="122"/>
      <c r="E282" s="231" t="s">
        <v>106</v>
      </c>
      <c r="F282" s="324" t="s">
        <v>520</v>
      </c>
      <c r="G282" s="243">
        <v>1E-3</v>
      </c>
      <c r="H282" s="328">
        <f>(0.488+0.959+1.62)/3*1000</f>
        <v>1022.3333333333334</v>
      </c>
      <c r="I282" s="235"/>
      <c r="J282" s="235"/>
      <c r="K282" s="414">
        <f>5.06*10^-2*1000</f>
        <v>50.6</v>
      </c>
      <c r="L282" s="414">
        <f>0.1*1000</f>
        <v>100</v>
      </c>
      <c r="M282" s="200"/>
      <c r="N282" s="465">
        <f>0.963730988004305*1000</f>
        <v>963.730988004305</v>
      </c>
      <c r="O282" s="196"/>
      <c r="P282" s="631"/>
      <c r="Q282" s="196"/>
      <c r="R282" s="196"/>
      <c r="S282" s="196"/>
      <c r="T282" s="702">
        <v>0</v>
      </c>
      <c r="U282" s="336"/>
      <c r="V282" s="336"/>
      <c r="W282" s="336"/>
      <c r="X282" s="40">
        <f>(Z282-Y282)*ModulCD!$O$3*1000</f>
        <v>-2.8809</v>
      </c>
      <c r="Y282" s="238">
        <v>0</v>
      </c>
      <c r="Z282" s="239">
        <v>0.59399999999999997</v>
      </c>
      <c r="AA282" s="254">
        <v>2022</v>
      </c>
      <c r="AB282" s="255">
        <v>2027</v>
      </c>
      <c r="AC282" s="294" t="s">
        <v>198</v>
      </c>
      <c r="AD282" t="s">
        <v>199</v>
      </c>
      <c r="AF282" s="240" t="s">
        <v>200</v>
      </c>
      <c r="AG282" s="655"/>
    </row>
    <row r="283" spans="1:33" ht="15.75" thickBot="1" x14ac:dyDescent="0.3">
      <c r="A283" s="121"/>
      <c r="B283" s="348" t="s">
        <v>266</v>
      </c>
      <c r="C283" s="349"/>
      <c r="D283" s="350"/>
      <c r="E283" s="351" t="s">
        <v>106</v>
      </c>
      <c r="F283" s="352">
        <f>D283</f>
        <v>0</v>
      </c>
      <c r="G283" s="353">
        <f>F283</f>
        <v>0</v>
      </c>
      <c r="H283" s="354"/>
      <c r="I283" s="354"/>
      <c r="J283" s="354"/>
      <c r="K283" s="354"/>
      <c r="L283" s="354"/>
      <c r="M283" s="355"/>
      <c r="N283" s="354"/>
      <c r="O283" s="356"/>
      <c r="P283" s="356"/>
      <c r="Q283" s="356"/>
      <c r="R283" s="356"/>
      <c r="S283" s="356"/>
      <c r="T283" s="357"/>
      <c r="U283" s="356"/>
      <c r="V283" s="356"/>
      <c r="W283" s="356"/>
      <c r="X283" s="357"/>
      <c r="Y283" s="358"/>
      <c r="Z283" s="359"/>
      <c r="AA283" s="360"/>
      <c r="AB283" s="361"/>
      <c r="AC283" s="616"/>
      <c r="AD283" s="362"/>
      <c r="AE283" s="362"/>
      <c r="AF283" s="363"/>
      <c r="AG283" s="124"/>
    </row>
    <row r="284" spans="1:33" ht="15.75" thickBot="1" x14ac:dyDescent="0.3">
      <c r="B284" s="418"/>
      <c r="C284" s="419"/>
      <c r="D284" s="419"/>
      <c r="E284" s="122"/>
      <c r="F284" s="9"/>
      <c r="H284" s="420"/>
      <c r="I284" s="420"/>
      <c r="J284" s="420"/>
      <c r="K284" s="420"/>
      <c r="L284" s="420"/>
      <c r="M284" s="420"/>
      <c r="N284" s="420"/>
      <c r="O284" s="421"/>
      <c r="P284" s="421"/>
      <c r="Q284" s="421"/>
      <c r="R284" s="421"/>
      <c r="S284" s="421"/>
      <c r="T284" s="421"/>
      <c r="U284" s="421"/>
      <c r="V284" s="421"/>
      <c r="W284" s="421"/>
      <c r="X284" s="421"/>
      <c r="Y284" s="422"/>
      <c r="Z284" s="422"/>
      <c r="AA284" s="345"/>
      <c r="AB284" s="345"/>
      <c r="AC284" s="345"/>
      <c r="AD284" s="125"/>
      <c r="AE284" s="125"/>
      <c r="AF284" s="423"/>
    </row>
    <row r="285" spans="1:33" x14ac:dyDescent="0.25">
      <c r="A285" s="405" t="s">
        <v>201</v>
      </c>
      <c r="B285" s="406"/>
      <c r="C285" s="312"/>
      <c r="D285" s="312"/>
      <c r="E285" s="312"/>
      <c r="F285" s="123"/>
      <c r="G285" s="123"/>
      <c r="H285" s="374"/>
      <c r="I285" s="374"/>
      <c r="J285" s="374"/>
      <c r="K285" s="374"/>
      <c r="L285" s="374"/>
      <c r="M285" s="374"/>
      <c r="N285" s="374"/>
      <c r="O285" s="374"/>
      <c r="P285" s="374"/>
      <c r="Q285" s="374"/>
      <c r="R285" s="374"/>
      <c r="S285" s="374"/>
      <c r="T285" s="673"/>
      <c r="U285" s="673"/>
      <c r="V285" s="673"/>
      <c r="W285" s="673"/>
      <c r="X285" s="673"/>
      <c r="Y285" s="123"/>
      <c r="Z285" s="123"/>
      <c r="AA285" s="123"/>
      <c r="AB285" s="123"/>
      <c r="AC285" s="123"/>
      <c r="AD285" s="413" t="s">
        <v>202</v>
      </c>
      <c r="AE285" s="123"/>
      <c r="AF285" s="123"/>
      <c r="AG285" s="123"/>
    </row>
    <row r="286" spans="1:33" x14ac:dyDescent="0.25">
      <c r="A286" s="872" t="s">
        <v>203</v>
      </c>
      <c r="B286" s="487" t="s">
        <v>204</v>
      </c>
      <c r="C286" s="488" t="s">
        <v>9</v>
      </c>
      <c r="D286" s="715"/>
      <c r="E286" s="564" t="s">
        <v>467</v>
      </c>
      <c r="F286" s="730">
        <v>1.54</v>
      </c>
      <c r="G286" s="565">
        <f>IF(E286=C286,1,F286)</f>
        <v>1.54</v>
      </c>
      <c r="H286" s="716">
        <v>2.16</v>
      </c>
      <c r="I286" s="494"/>
      <c r="J286" s="494"/>
      <c r="K286" s="495">
        <v>6.23</v>
      </c>
      <c r="L286" s="717">
        <v>0.71523178807947019</v>
      </c>
      <c r="M286" s="567"/>
      <c r="N286" s="493">
        <f>H286+K286+L286</f>
        <v>9.10523178807947</v>
      </c>
      <c r="O286" s="494"/>
      <c r="P286" s="576">
        <f>H286+K286+L286+T286+IF($X$1="included",X286,0)</f>
        <v>16.05046357615894</v>
      </c>
      <c r="Q286" s="501"/>
      <c r="R286" s="501"/>
      <c r="S286" s="501"/>
      <c r="T286" s="495">
        <f>$T$294</f>
        <v>6.9452317880794707</v>
      </c>
      <c r="U286" s="684"/>
      <c r="V286" s="684"/>
      <c r="W286" s="684"/>
      <c r="X286" s="502">
        <f>(Z286-Y286)*ModulCD!$O$14*1000</f>
        <v>-2.8809</v>
      </c>
      <c r="Y286" s="685">
        <v>0</v>
      </c>
      <c r="Z286" s="579">
        <v>0.59399999999999997</v>
      </c>
      <c r="AA286" s="580">
        <v>2024</v>
      </c>
      <c r="AB286" s="581">
        <v>2029</v>
      </c>
      <c r="AC286" s="581" t="s">
        <v>205</v>
      </c>
      <c r="AD286" s="687"/>
      <c r="AE286" s="110"/>
      <c r="AF286" s="831" t="s">
        <v>681</v>
      </c>
      <c r="AG286" s="110"/>
    </row>
    <row r="287" spans="1:33" x14ac:dyDescent="0.25">
      <c r="A287" s="873" t="s">
        <v>203</v>
      </c>
      <c r="B287" s="397" t="s">
        <v>206</v>
      </c>
      <c r="C287" s="165" t="s">
        <v>9</v>
      </c>
      <c r="D287" s="398"/>
      <c r="E287" s="231" t="s">
        <v>467</v>
      </c>
      <c r="F287" s="731">
        <v>1.53</v>
      </c>
      <c r="G287" s="87">
        <f t="shared" ref="G287:G297" si="94">IF(E287=C287,1,F287)</f>
        <v>1.53</v>
      </c>
      <c r="H287" s="400">
        <v>2.5099999999999998</v>
      </c>
      <c r="I287" s="180"/>
      <c r="J287" s="180"/>
      <c r="K287" s="444">
        <v>6.23</v>
      </c>
      <c r="L287" s="331">
        <v>0.71523178807947019</v>
      </c>
      <c r="M287" s="251"/>
      <c r="N287" s="436">
        <f t="shared" ref="N287:N290" si="95">H287+K287+L287</f>
        <v>9.4552317880794696</v>
      </c>
      <c r="O287" s="235"/>
      <c r="P287" s="415">
        <f>H287+K287+L287+T287+IF($X$1="included",X287,0)</f>
        <v>16.400463576158941</v>
      </c>
      <c r="Q287" s="235"/>
      <c r="R287" s="235"/>
      <c r="S287" s="235"/>
      <c r="T287" s="444">
        <f>$T$294</f>
        <v>6.9452317880794707</v>
      </c>
      <c r="U287" s="667"/>
      <c r="V287" s="667"/>
      <c r="W287" s="667"/>
      <c r="X287" s="40">
        <f>(Z287-Y287)*ModulCD!$O$14*1000</f>
        <v>-2.8809</v>
      </c>
      <c r="Y287" s="253">
        <v>0</v>
      </c>
      <c r="Z287" s="239">
        <v>0.59399999999999997</v>
      </c>
      <c r="AA287" s="254">
        <v>2024</v>
      </c>
      <c r="AB287" s="255">
        <v>2029</v>
      </c>
      <c r="AC287" s="255" t="s">
        <v>205</v>
      </c>
      <c r="AD287" s="240"/>
      <c r="AF287" s="831" t="s">
        <v>681</v>
      </c>
      <c r="AG287" s="217"/>
    </row>
    <row r="288" spans="1:33" x14ac:dyDescent="0.25">
      <c r="A288" s="873" t="s">
        <v>203</v>
      </c>
      <c r="B288" s="397" t="s">
        <v>207</v>
      </c>
      <c r="C288" s="165" t="s">
        <v>9</v>
      </c>
      <c r="D288" s="398"/>
      <c r="E288" s="231" t="s">
        <v>467</v>
      </c>
      <c r="F288" s="731">
        <v>1.6</v>
      </c>
      <c r="G288" s="87">
        <f t="shared" si="94"/>
        <v>1.6</v>
      </c>
      <c r="H288" s="400">
        <v>2.19</v>
      </c>
      <c r="I288" s="180"/>
      <c r="J288" s="180"/>
      <c r="K288" s="444">
        <v>6.23</v>
      </c>
      <c r="L288" s="331">
        <v>0.71523178807947019</v>
      </c>
      <c r="M288" s="251"/>
      <c r="N288" s="436">
        <f t="shared" si="95"/>
        <v>9.1352317880794693</v>
      </c>
      <c r="O288" s="235"/>
      <c r="P288" s="415">
        <f>H288+K288+L288+T288+IF($X$1="included",X288,0)</f>
        <v>16.080463576158941</v>
      </c>
      <c r="Q288" s="235"/>
      <c r="R288" s="235"/>
      <c r="S288" s="235"/>
      <c r="T288" s="444">
        <f>$T$294</f>
        <v>6.9452317880794707</v>
      </c>
      <c r="U288" s="667"/>
      <c r="V288" s="667"/>
      <c r="W288" s="667"/>
      <c r="X288" s="40">
        <f>(Z288-Y288)*ModulCD!$O$14*1000</f>
        <v>-2.8809</v>
      </c>
      <c r="Y288" s="253">
        <v>0</v>
      </c>
      <c r="Z288" s="239">
        <v>0.59399999999999997</v>
      </c>
      <c r="AA288" s="254">
        <v>2024</v>
      </c>
      <c r="AB288" s="255">
        <v>2029</v>
      </c>
      <c r="AC288" s="255" t="s">
        <v>205</v>
      </c>
      <c r="AD288" s="240"/>
      <c r="AF288" s="831" t="s">
        <v>681</v>
      </c>
      <c r="AG288" s="217"/>
    </row>
    <row r="289" spans="1:36" x14ac:dyDescent="0.25">
      <c r="A289" s="873" t="s">
        <v>203</v>
      </c>
      <c r="B289" s="397" t="s">
        <v>208</v>
      </c>
      <c r="C289" s="165" t="s">
        <v>9</v>
      </c>
      <c r="D289" s="398"/>
      <c r="E289" s="231" t="s">
        <v>467</v>
      </c>
      <c r="F289" s="731">
        <v>1.49</v>
      </c>
      <c r="G289" s="87">
        <f t="shared" si="94"/>
        <v>1.49</v>
      </c>
      <c r="H289" s="400">
        <v>2.76</v>
      </c>
      <c r="I289" s="180"/>
      <c r="J289" s="180"/>
      <c r="K289" s="444">
        <v>6.23</v>
      </c>
      <c r="L289" s="331">
        <v>0.71523178807947019</v>
      </c>
      <c r="M289" s="251"/>
      <c r="N289" s="436">
        <f t="shared" si="95"/>
        <v>9.7052317880794696</v>
      </c>
      <c r="O289" s="235"/>
      <c r="P289" s="415">
        <f>H289+K289+L289+T289+IF($X$1="included",X289,0)</f>
        <v>16.650463576158941</v>
      </c>
      <c r="Q289" s="235"/>
      <c r="R289" s="235"/>
      <c r="S289" s="235"/>
      <c r="T289" s="444">
        <f>$T$294</f>
        <v>6.9452317880794707</v>
      </c>
      <c r="U289" s="667"/>
      <c r="V289" s="667"/>
      <c r="W289" s="667"/>
      <c r="X289" s="40">
        <f>(Z289-Y289)*ModulCD!$O$14*1000</f>
        <v>-2.8809</v>
      </c>
      <c r="Y289" s="253">
        <v>0</v>
      </c>
      <c r="Z289" s="239">
        <v>0.59399999999999997</v>
      </c>
      <c r="AA289" s="254">
        <v>2024</v>
      </c>
      <c r="AB289" s="255">
        <v>2029</v>
      </c>
      <c r="AC289" s="255" t="s">
        <v>205</v>
      </c>
      <c r="AD289" s="240"/>
      <c r="AF289" s="831" t="s">
        <v>681</v>
      </c>
      <c r="AG289" s="217"/>
    </row>
    <row r="290" spans="1:36" x14ac:dyDescent="0.25">
      <c r="A290" s="873"/>
      <c r="B290" s="21" t="s">
        <v>682</v>
      </c>
      <c r="C290" s="171" t="s">
        <v>9</v>
      </c>
      <c r="D290" s="618"/>
      <c r="E290" s="231" t="s">
        <v>467</v>
      </c>
      <c r="F290" s="731">
        <v>1.51</v>
      </c>
      <c r="G290" s="87">
        <f t="shared" si="94"/>
        <v>1.51</v>
      </c>
      <c r="H290" s="710">
        <v>2.2200000000000002</v>
      </c>
      <c r="I290" s="711"/>
      <c r="J290" s="711"/>
      <c r="K290" s="444">
        <v>6.23</v>
      </c>
      <c r="L290" s="331">
        <v>0.71523178807946997</v>
      </c>
      <c r="M290" s="251"/>
      <c r="N290" s="436">
        <f t="shared" si="95"/>
        <v>9.1652317880794705</v>
      </c>
      <c r="O290" s="180"/>
      <c r="P290" s="415">
        <f t="shared" ref="P290:P293" si="96">H290+K290+L290+T290+IF($X$1="included",X290,0)</f>
        <v>16.110463576158942</v>
      </c>
      <c r="Q290" s="235"/>
      <c r="R290" s="235"/>
      <c r="S290" s="235"/>
      <c r="T290" s="444">
        <f>$T$294</f>
        <v>6.9452317880794707</v>
      </c>
      <c r="U290" s="667"/>
      <c r="V290" s="667"/>
      <c r="W290" s="667"/>
      <c r="X290" s="40">
        <f>(Z290-Y290)*ModulCD!$O$14*1000</f>
        <v>1.9691000000000001</v>
      </c>
      <c r="Y290" s="253">
        <v>1</v>
      </c>
      <c r="Z290" s="239">
        <v>0.59399999999999997</v>
      </c>
      <c r="AA290" s="254">
        <v>2024</v>
      </c>
      <c r="AB290" s="255">
        <v>2029</v>
      </c>
      <c r="AC290" s="255" t="s">
        <v>205</v>
      </c>
      <c r="AD290" s="240"/>
      <c r="AF290" s="831" t="s">
        <v>681</v>
      </c>
    </row>
    <row r="291" spans="1:36" x14ac:dyDescent="0.25">
      <c r="A291" s="873" t="s">
        <v>209</v>
      </c>
      <c r="B291" s="1" t="s">
        <v>683</v>
      </c>
      <c r="C291" s="233" t="s">
        <v>9</v>
      </c>
      <c r="D291" s="122" t="s">
        <v>690</v>
      </c>
      <c r="E291" s="231" t="s">
        <v>467</v>
      </c>
      <c r="F291" s="731">
        <v>1.4</v>
      </c>
      <c r="G291" s="87">
        <f t="shared" si="94"/>
        <v>1.4</v>
      </c>
      <c r="H291" s="414">
        <v>8.2780000000000005</v>
      </c>
      <c r="I291" s="235"/>
      <c r="J291" s="235"/>
      <c r="K291" s="444">
        <v>6.23</v>
      </c>
      <c r="L291" s="331">
        <v>0.71523178807946997</v>
      </c>
      <c r="M291" s="251"/>
      <c r="N291" s="436">
        <f t="shared" ref="N291:N293" si="97">H291+K291+L291</f>
        <v>15.22323178807947</v>
      </c>
      <c r="O291" s="235"/>
      <c r="P291" s="415">
        <f t="shared" si="96"/>
        <v>26.889331788079467</v>
      </c>
      <c r="Q291" s="235"/>
      <c r="R291" s="235"/>
      <c r="S291" s="235"/>
      <c r="T291" s="400">
        <f>(0.0003021+0.00426+0.007104)*1000</f>
        <v>11.666099999999998</v>
      </c>
      <c r="U291" s="667"/>
      <c r="V291" s="667"/>
      <c r="W291" s="667"/>
      <c r="X291" s="40">
        <f>(Z291-Y291)*ModulCD!$O$14*1000</f>
        <v>-2.8809</v>
      </c>
      <c r="Y291" s="253">
        <v>0</v>
      </c>
      <c r="Z291" s="239">
        <v>0.59399999999999997</v>
      </c>
      <c r="AA291" s="254">
        <v>2023</v>
      </c>
      <c r="AB291" s="255">
        <v>2026</v>
      </c>
      <c r="AC291" s="255" t="s">
        <v>205</v>
      </c>
      <c r="AD291" s="240"/>
      <c r="AF291" s="218" t="s">
        <v>684</v>
      </c>
    </row>
    <row r="292" spans="1:36" x14ac:dyDescent="0.25">
      <c r="A292" s="873" t="s">
        <v>209</v>
      </c>
      <c r="B292" s="1" t="s">
        <v>688</v>
      </c>
      <c r="C292" s="233" t="s">
        <v>9</v>
      </c>
      <c r="D292" s="122" t="s">
        <v>689</v>
      </c>
      <c r="E292" s="231" t="s">
        <v>467</v>
      </c>
      <c r="G292" s="87">
        <f t="shared" si="94"/>
        <v>0</v>
      </c>
      <c r="H292" s="414">
        <v>2.7</v>
      </c>
      <c r="I292" s="235"/>
      <c r="J292" s="235"/>
      <c r="K292" s="444">
        <v>6.23</v>
      </c>
      <c r="L292" s="331">
        <v>0.71523178807946997</v>
      </c>
      <c r="M292" s="251"/>
      <c r="N292" s="436">
        <f t="shared" si="97"/>
        <v>9.6452317880794691</v>
      </c>
      <c r="O292" s="235"/>
      <c r="P292" s="415">
        <f t="shared" si="96"/>
        <v>21.311331788079467</v>
      </c>
      <c r="Q292" s="235"/>
      <c r="R292" s="235"/>
      <c r="S292" s="235"/>
      <c r="T292" s="400">
        <f>(0.0003021+0.00426+0.007104)*1000</f>
        <v>11.666099999999998</v>
      </c>
      <c r="U292" s="667"/>
      <c r="V292" s="667"/>
      <c r="W292" s="667"/>
      <c r="X292" s="40">
        <f>(Z292-Y292)*ModulCD!$O$14*1000</f>
        <v>-2.8809</v>
      </c>
      <c r="Y292" s="253">
        <v>0</v>
      </c>
      <c r="Z292" s="239">
        <v>0.59399999999999997</v>
      </c>
      <c r="AA292" s="254">
        <v>2023</v>
      </c>
      <c r="AB292" s="255">
        <v>2026</v>
      </c>
      <c r="AC292" s="255" t="s">
        <v>205</v>
      </c>
      <c r="AD292" s="240"/>
      <c r="AF292" s="218" t="s">
        <v>687</v>
      </c>
    </row>
    <row r="293" spans="1:36" x14ac:dyDescent="0.25">
      <c r="A293" s="874" t="s">
        <v>210</v>
      </c>
      <c r="B293" s="590" t="s">
        <v>685</v>
      </c>
      <c r="C293" s="591" t="s">
        <v>9</v>
      </c>
      <c r="D293" s="592"/>
      <c r="E293" s="450" t="s">
        <v>467</v>
      </c>
      <c r="F293" s="731">
        <v>1.35</v>
      </c>
      <c r="G293" s="511">
        <f t="shared" si="94"/>
        <v>1.35</v>
      </c>
      <c r="H293" s="712">
        <v>2.7389999999999999</v>
      </c>
      <c r="I293" s="519"/>
      <c r="J293" s="519"/>
      <c r="K293" s="514">
        <v>6.23</v>
      </c>
      <c r="L293" s="713">
        <v>0.71523178807946997</v>
      </c>
      <c r="M293" s="598"/>
      <c r="N293" s="512">
        <f t="shared" si="97"/>
        <v>9.6842317880794706</v>
      </c>
      <c r="O293" s="513"/>
      <c r="P293" s="600">
        <f t="shared" si="96"/>
        <v>21.350331788079469</v>
      </c>
      <c r="Q293" s="519"/>
      <c r="R293" s="519"/>
      <c r="S293" s="519"/>
      <c r="T293" s="834">
        <f>(0.0003021+0.00426+0.007104)*1000</f>
        <v>11.666099999999998</v>
      </c>
      <c r="U293" s="698"/>
      <c r="V293" s="698"/>
      <c r="W293" s="698"/>
      <c r="X293" s="520">
        <f>(Z293-Y293)*ModulCD!$O$14*1000</f>
        <v>-2.8809</v>
      </c>
      <c r="Y293" s="699">
        <v>0</v>
      </c>
      <c r="Z293" s="700">
        <v>0.59399999999999997</v>
      </c>
      <c r="AA293" s="605">
        <v>2023</v>
      </c>
      <c r="AB293" s="606">
        <v>2026</v>
      </c>
      <c r="AC293" s="606" t="s">
        <v>205</v>
      </c>
      <c r="AD293" s="714"/>
      <c r="AE293" s="463"/>
      <c r="AF293" s="714" t="s">
        <v>686</v>
      </c>
      <c r="AG293" s="463"/>
    </row>
    <row r="294" spans="1:36" s="141" customFormat="1" x14ac:dyDescent="0.25">
      <c r="A294" s="120"/>
      <c r="B294" s="1" t="s">
        <v>261</v>
      </c>
      <c r="C294" s="233" t="s">
        <v>9</v>
      </c>
      <c r="D294" s="630"/>
      <c r="E294" s="231" t="s">
        <v>467</v>
      </c>
      <c r="F294" s="730">
        <v>1.51</v>
      </c>
      <c r="G294" s="87">
        <f t="shared" si="94"/>
        <v>1.51</v>
      </c>
      <c r="H294" s="701">
        <f>AVERAGE(H291,H289)</f>
        <v>5.5190000000000001</v>
      </c>
      <c r="I294" s="196"/>
      <c r="J294" s="196"/>
      <c r="K294" s="444">
        <v>6.23</v>
      </c>
      <c r="L294" s="331">
        <v>0.71523178807947019</v>
      </c>
      <c r="M294" s="201"/>
      <c r="N294" s="436">
        <f>H294+K294+L294</f>
        <v>12.46423178807947</v>
      </c>
      <c r="O294" s="180"/>
      <c r="P294" s="415">
        <f>H294+K294+L294+T294+IF($X$1="included",X294,0)</f>
        <v>19.409463576158942</v>
      </c>
      <c r="Q294" s="235"/>
      <c r="R294" s="235"/>
      <c r="S294" s="235"/>
      <c r="T294" s="444">
        <f>K294+L294</f>
        <v>6.9452317880794707</v>
      </c>
      <c r="U294" s="667"/>
      <c r="V294" s="667"/>
      <c r="W294" s="667"/>
      <c r="X294" s="40">
        <f>(Z294-Y294)*ModulCD!$O$14*1000</f>
        <v>-2.8809</v>
      </c>
      <c r="Y294" s="253">
        <v>0</v>
      </c>
      <c r="Z294" s="239">
        <v>0.59399999999999997</v>
      </c>
      <c r="AA294" s="114"/>
      <c r="AB294" s="127"/>
      <c r="AC294" s="266" t="s">
        <v>211</v>
      </c>
      <c r="AD294" t="s">
        <v>212</v>
      </c>
      <c r="AE294"/>
      <c r="AF294" s="240"/>
      <c r="AG294"/>
      <c r="AH294"/>
      <c r="AI294"/>
      <c r="AJ294"/>
    </row>
    <row r="295" spans="1:36" s="141" customFormat="1" x14ac:dyDescent="0.25">
      <c r="A295" s="120"/>
      <c r="B295" s="1" t="s">
        <v>539</v>
      </c>
      <c r="C295" s="233" t="s">
        <v>9</v>
      </c>
      <c r="D295" s="630"/>
      <c r="E295" s="231" t="s">
        <v>467</v>
      </c>
      <c r="F295" s="731">
        <v>1.51</v>
      </c>
      <c r="G295" s="87">
        <f t="shared" si="94"/>
        <v>1.51</v>
      </c>
      <c r="H295" s="701">
        <f>AVERAGE(H292,H288)</f>
        <v>2.4450000000000003</v>
      </c>
      <c r="I295" s="196"/>
      <c r="J295" s="196"/>
      <c r="K295" s="444">
        <v>6.23</v>
      </c>
      <c r="L295" s="331">
        <v>0.71523178807947019</v>
      </c>
      <c r="M295" s="251"/>
      <c r="N295" s="436">
        <f t="shared" ref="N295:N297" si="98">H295+K295+L295</f>
        <v>9.3902317880794701</v>
      </c>
      <c r="O295" s="235"/>
      <c r="P295" s="415">
        <f>H295+K295+L295+T295+IF($X$1="included",X295,0)</f>
        <v>16.33546357615894</v>
      </c>
      <c r="Q295" s="235"/>
      <c r="R295" s="235"/>
      <c r="S295" s="235"/>
      <c r="T295" s="444">
        <f t="shared" ref="T295:T297" si="99">K295+L295</f>
        <v>6.9452317880794707</v>
      </c>
      <c r="U295" s="667"/>
      <c r="V295" s="667"/>
      <c r="W295" s="667"/>
      <c r="X295" s="40">
        <f>(Z295-Y295)*ModulCD!$O$14*1000</f>
        <v>-2.8809</v>
      </c>
      <c r="Y295" s="253">
        <v>0</v>
      </c>
      <c r="Z295" s="239">
        <v>0.59399999999999997</v>
      </c>
      <c r="AA295" s="114"/>
      <c r="AB295" s="127"/>
      <c r="AC295" s="266" t="s">
        <v>213</v>
      </c>
      <c r="AD295" s="240"/>
      <c r="AE295"/>
      <c r="AF295"/>
      <c r="AG295"/>
      <c r="AH295"/>
      <c r="AI295"/>
      <c r="AJ295"/>
    </row>
    <row r="296" spans="1:36" x14ac:dyDescent="0.25">
      <c r="A296" s="120"/>
      <c r="B296" s="1" t="s">
        <v>214</v>
      </c>
      <c r="C296" s="233" t="s">
        <v>9</v>
      </c>
      <c r="D296" s="630"/>
      <c r="E296" s="231" t="s">
        <v>467</v>
      </c>
      <c r="F296" s="731">
        <v>1.51</v>
      </c>
      <c r="G296" s="87">
        <f t="shared" si="94"/>
        <v>1.51</v>
      </c>
      <c r="H296" s="738">
        <v>2.1741731601731602</v>
      </c>
      <c r="I296" s="196"/>
      <c r="J296" s="196"/>
      <c r="K296" s="444">
        <v>6.23</v>
      </c>
      <c r="L296" s="331">
        <v>0.71523178807947019</v>
      </c>
      <c r="M296" s="251"/>
      <c r="N296" s="436">
        <f t="shared" si="98"/>
        <v>9.1194049482526296</v>
      </c>
      <c r="O296" s="235"/>
      <c r="P296" s="415">
        <f>H296+K296+L296+T296+IF($X$1="included",X296,0)</f>
        <v>16.064636736332101</v>
      </c>
      <c r="Q296" s="235"/>
      <c r="R296" s="235"/>
      <c r="S296" s="235"/>
      <c r="T296" s="444">
        <f t="shared" si="99"/>
        <v>6.9452317880794707</v>
      </c>
      <c r="U296" s="667"/>
      <c r="V296" s="667"/>
      <c r="W296" s="667"/>
      <c r="X296" s="40">
        <f>(Z296-Y296)*ModulCD!$O$14*1000</f>
        <v>-2.8809</v>
      </c>
      <c r="Y296" s="253">
        <v>0</v>
      </c>
      <c r="Z296" s="239">
        <v>0.59399999999999997</v>
      </c>
      <c r="AA296" s="114"/>
      <c r="AB296" s="127"/>
      <c r="AC296" s="266" t="s">
        <v>215</v>
      </c>
      <c r="AD296" s="240"/>
    </row>
    <row r="297" spans="1:36" x14ac:dyDescent="0.25">
      <c r="A297" s="120"/>
      <c r="B297" s="1" t="s">
        <v>262</v>
      </c>
      <c r="C297" s="233" t="s">
        <v>9</v>
      </c>
      <c r="D297" s="630"/>
      <c r="E297" s="231" t="s">
        <v>467</v>
      </c>
      <c r="F297" s="731">
        <v>1.51</v>
      </c>
      <c r="G297" s="87">
        <f t="shared" si="94"/>
        <v>1.51</v>
      </c>
      <c r="H297" s="701">
        <f>AVERAGE(H293,H287,H286)</f>
        <v>2.4696666666666665</v>
      </c>
      <c r="I297" s="196"/>
      <c r="J297" s="196"/>
      <c r="K297" s="444">
        <v>6.23</v>
      </c>
      <c r="L297" s="331">
        <v>0.71523178807947019</v>
      </c>
      <c r="M297" s="251"/>
      <c r="N297" s="436">
        <f t="shared" si="98"/>
        <v>9.4148984547461367</v>
      </c>
      <c r="O297" s="235"/>
      <c r="P297" s="415">
        <f>H297+K297+L297+T297+IF($X$1="included",X297,0)</f>
        <v>16.360130242825608</v>
      </c>
      <c r="Q297" s="235"/>
      <c r="R297" s="235"/>
      <c r="S297" s="235"/>
      <c r="T297" s="444">
        <f t="shared" si="99"/>
        <v>6.9452317880794707</v>
      </c>
      <c r="U297" s="667"/>
      <c r="V297" s="667"/>
      <c r="W297" s="667"/>
      <c r="X297" s="40">
        <f>(Z297-Y297)*ModulCD!$O$14*1000</f>
        <v>-2.8809</v>
      </c>
      <c r="Y297" s="253">
        <v>0</v>
      </c>
      <c r="Z297" s="239">
        <v>0.59399999999999997</v>
      </c>
      <c r="AA297" s="114"/>
      <c r="AB297" s="127"/>
      <c r="AC297" s="266" t="s">
        <v>216</v>
      </c>
    </row>
    <row r="298" spans="1:36" ht="15.75" thickBot="1" x14ac:dyDescent="0.3">
      <c r="A298" s="347"/>
      <c r="B298" s="348" t="s">
        <v>264</v>
      </c>
      <c r="C298" s="349"/>
      <c r="D298" s="350"/>
      <c r="E298" s="351" t="s">
        <v>467</v>
      </c>
      <c r="F298" s="352">
        <f>D298</f>
        <v>0</v>
      </c>
      <c r="G298" s="353">
        <f>F298</f>
        <v>0</v>
      </c>
      <c r="H298" s="354"/>
      <c r="I298" s="354"/>
      <c r="J298" s="354"/>
      <c r="K298" s="354"/>
      <c r="L298" s="354"/>
      <c r="M298" s="355"/>
      <c r="N298" s="354"/>
      <c r="O298" s="356"/>
      <c r="P298" s="356"/>
      <c r="Q298" s="356"/>
      <c r="R298" s="356"/>
      <c r="S298" s="356"/>
      <c r="T298" s="357"/>
      <c r="U298" s="356"/>
      <c r="V298" s="356"/>
      <c r="W298" s="356"/>
      <c r="X298" s="357"/>
      <c r="Y298" s="358"/>
      <c r="Z298" s="359"/>
      <c r="AA298" s="360"/>
      <c r="AB298" s="361"/>
      <c r="AC298" s="616"/>
      <c r="AD298" s="362"/>
      <c r="AE298" s="362"/>
      <c r="AF298" s="363"/>
      <c r="AG298" s="124"/>
    </row>
    <row r="299" spans="1:36" ht="15.75" thickBot="1" x14ac:dyDescent="0.3">
      <c r="B299" s="1"/>
      <c r="C299" s="122"/>
      <c r="E299" s="122"/>
      <c r="H299" s="250"/>
      <c r="I299" s="250"/>
      <c r="J299" s="250"/>
      <c r="K299" s="250"/>
      <c r="L299" s="402"/>
      <c r="M299" s="250"/>
      <c r="N299" s="250"/>
      <c r="O299" s="250"/>
      <c r="P299" s="250"/>
      <c r="Q299" s="250"/>
      <c r="R299" s="250"/>
      <c r="S299" s="250"/>
      <c r="T299" s="469"/>
      <c r="U299" s="469"/>
      <c r="V299" s="469"/>
      <c r="W299" s="469"/>
      <c r="X299" s="469"/>
    </row>
    <row r="300" spans="1:36" x14ac:dyDescent="0.25">
      <c r="A300" s="405"/>
      <c r="B300" s="406"/>
      <c r="C300" s="312"/>
      <c r="D300" s="312"/>
      <c r="E300" s="312"/>
      <c r="F300" s="123"/>
      <c r="G300" s="123"/>
      <c r="H300" s="374"/>
      <c r="I300" s="374"/>
      <c r="J300" s="374"/>
      <c r="K300" s="374"/>
      <c r="L300" s="612"/>
      <c r="M300" s="374"/>
      <c r="N300" s="374"/>
      <c r="O300" s="374"/>
      <c r="P300" s="374"/>
      <c r="Q300" s="374"/>
      <c r="R300" s="374"/>
      <c r="S300" s="374"/>
      <c r="T300" s="673"/>
      <c r="U300" s="673"/>
      <c r="V300" s="673"/>
      <c r="W300" s="673"/>
      <c r="X300" s="673"/>
      <c r="Y300" s="123"/>
      <c r="Z300" s="123"/>
      <c r="AA300" s="123"/>
      <c r="AB300" s="123"/>
      <c r="AC300" s="123"/>
      <c r="AD300" s="413"/>
      <c r="AE300" s="123"/>
      <c r="AF300" s="123"/>
      <c r="AG300" s="123"/>
    </row>
    <row r="301" spans="1:36" x14ac:dyDescent="0.25">
      <c r="A301" s="875" t="s">
        <v>13</v>
      </c>
      <c r="B301" s="590"/>
      <c r="C301" s="592"/>
      <c r="D301" s="592"/>
      <c r="E301" s="592"/>
      <c r="F301" s="463"/>
      <c r="G301" s="463"/>
      <c r="H301" s="599"/>
      <c r="I301" s="599"/>
      <c r="J301" s="599"/>
      <c r="K301" s="599"/>
      <c r="L301" s="709"/>
      <c r="M301" s="599"/>
      <c r="N301" s="599"/>
      <c r="O301" s="599"/>
      <c r="P301" s="599"/>
      <c r="Q301" s="599"/>
      <c r="R301" s="599"/>
      <c r="S301" s="599"/>
      <c r="T301" s="485"/>
      <c r="U301" s="485"/>
      <c r="V301" s="485"/>
      <c r="W301" s="485"/>
      <c r="X301" s="485"/>
      <c r="Y301" s="463"/>
      <c r="Z301" s="463"/>
      <c r="AA301" s="463"/>
      <c r="AB301" s="463"/>
      <c r="AC301" s="463"/>
      <c r="AD301" s="463"/>
      <c r="AE301" s="463"/>
      <c r="AF301" s="463"/>
      <c r="AG301" s="463"/>
    </row>
    <row r="302" spans="1:36" ht="15" customHeight="1" x14ac:dyDescent="0.25">
      <c r="A302" s="329"/>
      <c r="B302" s="1" t="s">
        <v>705</v>
      </c>
      <c r="C302" s="233" t="s">
        <v>9</v>
      </c>
      <c r="D302" s="735"/>
      <c r="E302" s="231" t="s">
        <v>468</v>
      </c>
      <c r="F302" s="846">
        <v>2524</v>
      </c>
      <c r="G302" s="243">
        <f t="shared" ref="G302:G304" si="100">F302/1000</f>
        <v>2.524</v>
      </c>
      <c r="H302" s="414">
        <v>120.896</v>
      </c>
      <c r="I302" s="235"/>
      <c r="J302" s="235"/>
      <c r="K302" s="414">
        <v>7.5330000000000004</v>
      </c>
      <c r="L302" s="400">
        <v>0.38600000000000001</v>
      </c>
      <c r="M302" s="268">
        <v>-5.1219999999999999</v>
      </c>
      <c r="N302" s="858">
        <f>SUM(H302:M302,T302)</f>
        <v>132.274</v>
      </c>
      <c r="O302" s="235"/>
      <c r="P302" s="235">
        <f t="shared" ref="P302:P304" si="101">N302</f>
        <v>132.274</v>
      </c>
      <c r="Q302" s="235"/>
      <c r="R302" s="235"/>
      <c r="S302" s="235"/>
      <c r="T302" s="212">
        <f>9.315-0.734</f>
        <v>8.5809999999999995</v>
      </c>
      <c r="U302" s="667"/>
      <c r="V302" s="667"/>
      <c r="W302" s="667"/>
      <c r="X302" s="40">
        <f>(Z302-Y302)*ModulCD!$O$3*F302</f>
        <v>0</v>
      </c>
      <c r="Y302" s="253">
        <v>0</v>
      </c>
      <c r="Z302" s="239">
        <v>0</v>
      </c>
      <c r="AA302" s="254">
        <v>2024</v>
      </c>
      <c r="AB302" s="255">
        <v>2029</v>
      </c>
      <c r="AC302" s="127"/>
      <c r="AD302" t="s">
        <v>709</v>
      </c>
      <c r="AE302" t="s">
        <v>731</v>
      </c>
      <c r="AF302" s="274" t="s">
        <v>757</v>
      </c>
    </row>
    <row r="303" spans="1:36" x14ac:dyDescent="0.25">
      <c r="A303" s="329"/>
      <c r="B303" s="1" t="s">
        <v>706</v>
      </c>
      <c r="C303" s="233" t="s">
        <v>9</v>
      </c>
      <c r="D303" s="735"/>
      <c r="E303" s="231" t="s">
        <v>468</v>
      </c>
      <c r="F303" s="846">
        <v>2540</v>
      </c>
      <c r="G303" s="243">
        <f t="shared" si="100"/>
        <v>2.54</v>
      </c>
      <c r="H303" s="414">
        <v>138.84399999999999</v>
      </c>
      <c r="I303" s="235"/>
      <c r="J303" s="235"/>
      <c r="K303" s="414">
        <v>7.6719999999999997</v>
      </c>
      <c r="L303" s="400">
        <v>0.379</v>
      </c>
      <c r="M303" s="268">
        <v>-5.0179999999999998</v>
      </c>
      <c r="N303" s="858">
        <f t="shared" ref="N303:N305" si="102">SUM(H303:M303,T303)</f>
        <v>150.89399999999998</v>
      </c>
      <c r="O303" s="235"/>
      <c r="P303" s="235">
        <f t="shared" si="101"/>
        <v>150.89399999999998</v>
      </c>
      <c r="Q303" s="235"/>
      <c r="R303" s="235"/>
      <c r="S303" s="235"/>
      <c r="T303" s="212">
        <f>9.722-0.705</f>
        <v>9.0169999999999995</v>
      </c>
      <c r="U303" s="667"/>
      <c r="V303" s="667"/>
      <c r="W303" s="667"/>
      <c r="X303" s="40">
        <f>(Z303-Y303)*ModulCD!$O$3*F303</f>
        <v>0</v>
      </c>
      <c r="Y303" s="253">
        <v>0</v>
      </c>
      <c r="Z303" s="239">
        <v>0</v>
      </c>
      <c r="AA303" s="254">
        <v>2024</v>
      </c>
      <c r="AB303" s="255">
        <v>2029</v>
      </c>
      <c r="AC303" s="127"/>
      <c r="AD303" t="s">
        <v>709</v>
      </c>
      <c r="AE303" t="s">
        <v>731</v>
      </c>
      <c r="AF303" s="274" t="s">
        <v>757</v>
      </c>
    </row>
    <row r="304" spans="1:36" x14ac:dyDescent="0.25">
      <c r="A304" s="329"/>
      <c r="B304" s="1" t="s">
        <v>707</v>
      </c>
      <c r="C304" s="233" t="s">
        <v>9</v>
      </c>
      <c r="D304" s="735"/>
      <c r="E304" s="231" t="s">
        <v>468</v>
      </c>
      <c r="F304" s="846">
        <v>2466</v>
      </c>
      <c r="G304" s="243">
        <f t="shared" si="100"/>
        <v>2.4660000000000002</v>
      </c>
      <c r="H304" s="414">
        <v>133.11000000000001</v>
      </c>
      <c r="I304" s="235"/>
      <c r="J304" s="235"/>
      <c r="K304" s="414">
        <v>9.6839999999999993</v>
      </c>
      <c r="L304" s="400">
        <v>0.82699999999999996</v>
      </c>
      <c r="M304" s="268">
        <v>-5.3170000000000002</v>
      </c>
      <c r="N304" s="858">
        <f t="shared" si="102"/>
        <v>146.411</v>
      </c>
      <c r="O304" s="235"/>
      <c r="P304" s="235">
        <f t="shared" si="101"/>
        <v>146.411</v>
      </c>
      <c r="Q304" s="235"/>
      <c r="R304" s="235"/>
      <c r="S304" s="235"/>
      <c r="T304" s="212">
        <f>3.276+4.625+1+0.122-0.916</f>
        <v>8.1069999999999993</v>
      </c>
      <c r="U304" s="667"/>
      <c r="V304" s="667"/>
      <c r="W304" s="667"/>
      <c r="X304" s="40">
        <f>(Z304-Y304)*ModulCD!$O$3*F304</f>
        <v>0</v>
      </c>
      <c r="Y304" s="253">
        <v>0</v>
      </c>
      <c r="Z304" s="239">
        <v>0</v>
      </c>
      <c r="AA304" s="254">
        <v>2024</v>
      </c>
      <c r="AB304" s="255">
        <v>2029</v>
      </c>
      <c r="AC304" s="127"/>
      <c r="AD304" t="s">
        <v>710</v>
      </c>
      <c r="AE304" t="s">
        <v>731</v>
      </c>
      <c r="AF304" s="274" t="s">
        <v>759</v>
      </c>
    </row>
    <row r="305" spans="1:33" x14ac:dyDescent="0.25">
      <c r="A305" s="329"/>
      <c r="B305" s="1" t="s">
        <v>708</v>
      </c>
      <c r="C305" s="233" t="s">
        <v>9</v>
      </c>
      <c r="D305" s="735"/>
      <c r="E305" s="231" t="s">
        <v>468</v>
      </c>
      <c r="F305" s="846">
        <v>620</v>
      </c>
      <c r="G305" s="243">
        <f>F305/1000</f>
        <v>0.62</v>
      </c>
      <c r="H305" s="414">
        <v>-444.23599999999999</v>
      </c>
      <c r="I305" s="235"/>
      <c r="J305" s="235"/>
      <c r="K305" s="414">
        <v>22.105</v>
      </c>
      <c r="L305" s="414">
        <v>0.749</v>
      </c>
      <c r="M305" s="268">
        <v>-18.571999999999999</v>
      </c>
      <c r="N305" s="858">
        <f t="shared" si="102"/>
        <v>72.785000000000082</v>
      </c>
      <c r="O305" s="235"/>
      <c r="P305" s="235">
        <f>N305</f>
        <v>72.785000000000082</v>
      </c>
      <c r="Q305" s="235"/>
      <c r="R305" s="235"/>
      <c r="S305" s="235"/>
      <c r="T305" s="198">
        <f>664.849-152.11</f>
        <v>512.73900000000003</v>
      </c>
      <c r="U305" s="667"/>
      <c r="V305" s="667"/>
      <c r="W305" s="667"/>
      <c r="X305" s="40">
        <f>(Z305-Y305)*ModulCD!$O$3*F305</f>
        <v>0</v>
      </c>
      <c r="Y305" s="253">
        <v>0</v>
      </c>
      <c r="Z305" s="239">
        <v>0</v>
      </c>
      <c r="AA305" s="254">
        <v>2024</v>
      </c>
      <c r="AB305" s="255">
        <v>2029</v>
      </c>
      <c r="AC305" s="273"/>
      <c r="AD305" t="s">
        <v>711</v>
      </c>
      <c r="AE305" t="s">
        <v>732</v>
      </c>
      <c r="AF305" t="s">
        <v>754</v>
      </c>
    </row>
    <row r="306" spans="1:33" ht="15.75" thickBot="1" x14ac:dyDescent="0.3">
      <c r="A306" s="121"/>
      <c r="B306" s="348" t="s">
        <v>747</v>
      </c>
      <c r="C306" s="349"/>
      <c r="D306" s="350"/>
      <c r="E306" s="351" t="s">
        <v>468</v>
      </c>
      <c r="F306" s="352">
        <f>D306</f>
        <v>0</v>
      </c>
      <c r="G306" s="353">
        <f>F306</f>
        <v>0</v>
      </c>
      <c r="H306" s="354"/>
      <c r="I306" s="354"/>
      <c r="J306" s="354"/>
      <c r="K306" s="354"/>
      <c r="L306" s="354"/>
      <c r="M306" s="355"/>
      <c r="N306" s="354"/>
      <c r="O306" s="356"/>
      <c r="P306" s="356"/>
      <c r="Q306" s="356"/>
      <c r="R306" s="356"/>
      <c r="S306" s="356"/>
      <c r="T306" s="357"/>
      <c r="U306" s="356"/>
      <c r="V306" s="356"/>
      <c r="W306" s="356"/>
      <c r="X306" s="357"/>
      <c r="Y306" s="358"/>
      <c r="Z306" s="359"/>
      <c r="AA306" s="360"/>
      <c r="AB306" s="361"/>
      <c r="AC306" s="616"/>
      <c r="AD306" s="362"/>
      <c r="AE306" s="362"/>
      <c r="AF306" s="363"/>
      <c r="AG306" s="124"/>
    </row>
    <row r="307" spans="1:33" ht="15.75" thickBot="1" x14ac:dyDescent="0.3">
      <c r="B307" s="418"/>
      <c r="C307" s="122"/>
      <c r="E307" s="122"/>
      <c r="F307" s="11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S307" s="250"/>
      <c r="T307" s="469"/>
      <c r="U307" s="469"/>
      <c r="V307" s="469"/>
      <c r="W307" s="469"/>
      <c r="X307" s="469"/>
    </row>
    <row r="308" spans="1:33" ht="15" customHeight="1" x14ac:dyDescent="0.25">
      <c r="A308" s="405" t="s">
        <v>219</v>
      </c>
      <c r="B308" s="406" t="s">
        <v>509</v>
      </c>
      <c r="C308" s="311" t="s">
        <v>468</v>
      </c>
      <c r="D308" s="736">
        <v>10</v>
      </c>
      <c r="E308" s="313" t="s">
        <v>468</v>
      </c>
      <c r="F308" s="733">
        <v>230</v>
      </c>
      <c r="G308" s="409">
        <v>1</v>
      </c>
      <c r="H308" s="371">
        <v>25.01</v>
      </c>
      <c r="I308" s="314"/>
      <c r="J308" s="314"/>
      <c r="K308" s="315">
        <v>3.22</v>
      </c>
      <c r="L308" s="317">
        <v>0.82100000000000006</v>
      </c>
      <c r="M308" s="372"/>
      <c r="N308" s="705">
        <f>SUM(H308:L308,T308)</f>
        <v>31.351000000000003</v>
      </c>
      <c r="O308" s="314"/>
      <c r="P308" s="374"/>
      <c r="Q308" s="314"/>
      <c r="R308" s="314"/>
      <c r="S308" s="314"/>
      <c r="T308" s="706">
        <v>2.2999999999999998</v>
      </c>
      <c r="U308" s="707"/>
      <c r="V308" s="707"/>
      <c r="W308" s="707"/>
      <c r="X308" s="708">
        <f>(Z308-Y308)*ModulCD!$O$3*F308</f>
        <v>0</v>
      </c>
      <c r="Y308" s="377">
        <v>0</v>
      </c>
      <c r="Z308" s="320">
        <v>0</v>
      </c>
      <c r="AA308" s="378">
        <v>2021</v>
      </c>
      <c r="AB308" s="379">
        <v>2026</v>
      </c>
      <c r="AC308" s="429"/>
      <c r="AD308" s="123" t="s">
        <v>220</v>
      </c>
      <c r="AE308" s="123"/>
      <c r="AF308" s="321" t="s">
        <v>221</v>
      </c>
      <c r="AG308" s="123"/>
    </row>
    <row r="309" spans="1:33" ht="15" customHeight="1" x14ac:dyDescent="0.25">
      <c r="A309" s="120"/>
      <c r="B309" s="1" t="s">
        <v>11</v>
      </c>
      <c r="C309" s="233" t="s">
        <v>9</v>
      </c>
      <c r="E309" s="231" t="s">
        <v>468</v>
      </c>
      <c r="F309" s="586">
        <v>2298</v>
      </c>
      <c r="G309" s="243">
        <f>F309/1000</f>
        <v>2.298</v>
      </c>
      <c r="H309" s="414">
        <v>82.174999999999997</v>
      </c>
      <c r="I309" s="235"/>
      <c r="J309" s="235"/>
      <c r="K309" s="400">
        <v>9.1349999999999998</v>
      </c>
      <c r="L309" s="844">
        <v>1.9219999999999999</v>
      </c>
      <c r="M309" s="251"/>
      <c r="N309" s="858">
        <f t="shared" ref="N309:N310" si="103">SUM(H309:L309,T309)</f>
        <v>100.602</v>
      </c>
      <c r="O309" s="235"/>
      <c r="P309" s="859">
        <f t="shared" ref="P309:P310" si="104">N309</f>
        <v>100.602</v>
      </c>
      <c r="Q309" s="235"/>
      <c r="R309" s="235"/>
      <c r="S309" s="235"/>
      <c r="T309" s="848">
        <f>3.275+4.621+0+0.122-0.648</f>
        <v>7.370000000000001</v>
      </c>
      <c r="U309" s="667"/>
      <c r="V309" s="667"/>
      <c r="W309" s="667"/>
      <c r="X309" s="40">
        <f>(Z309-Y309)*ModulCD!$O$3*F309</f>
        <v>0</v>
      </c>
      <c r="Y309" s="253">
        <v>0</v>
      </c>
      <c r="Z309" s="239">
        <v>0</v>
      </c>
      <c r="AA309" s="254">
        <v>2024</v>
      </c>
      <c r="AB309" s="255">
        <v>2029</v>
      </c>
      <c r="AC309" s="127" t="s">
        <v>737</v>
      </c>
      <c r="AD309" t="s">
        <v>222</v>
      </c>
      <c r="AF309" s="240" t="s">
        <v>758</v>
      </c>
    </row>
    <row r="310" spans="1:33" s="9" customFormat="1" ht="15" customHeight="1" x14ac:dyDescent="0.25">
      <c r="A310" s="613"/>
      <c r="B310" s="21" t="s">
        <v>704</v>
      </c>
      <c r="C310" s="168" t="s">
        <v>9</v>
      </c>
      <c r="D310" s="333"/>
      <c r="E310" s="334" t="s">
        <v>468</v>
      </c>
      <c r="F310" s="732">
        <v>2295</v>
      </c>
      <c r="G310" s="91">
        <f>F310/1000</f>
        <v>2.2949999999999999</v>
      </c>
      <c r="H310" s="335">
        <v>89.228999999999999</v>
      </c>
      <c r="I310" s="336"/>
      <c r="J310" s="336"/>
      <c r="K310" s="400">
        <v>13.709</v>
      </c>
      <c r="L310" s="845">
        <v>1.462</v>
      </c>
      <c r="M310" s="207"/>
      <c r="N310" s="858">
        <f t="shared" si="103"/>
        <v>111.71100000000001</v>
      </c>
      <c r="O310" s="336"/>
      <c r="P310" s="859">
        <f t="shared" si="104"/>
        <v>111.71100000000001</v>
      </c>
      <c r="Q310" s="336"/>
      <c r="R310" s="336"/>
      <c r="S310" s="336"/>
      <c r="T310" s="848">
        <f>3.275+4.621+0+0.122-0.707</f>
        <v>7.3110000000000008</v>
      </c>
      <c r="U310" s="336"/>
      <c r="V310" s="336"/>
      <c r="W310" s="336"/>
      <c r="X310" s="40">
        <f>(Z310-Y310)*ModulCD!$O$3*F310</f>
        <v>0</v>
      </c>
      <c r="Y310" s="253">
        <v>0</v>
      </c>
      <c r="Z310" s="239">
        <v>0</v>
      </c>
      <c r="AA310" s="79">
        <v>2024</v>
      </c>
      <c r="AB310" s="65">
        <v>2029</v>
      </c>
      <c r="AC310" s="47" t="s">
        <v>737</v>
      </c>
      <c r="AD310" s="9" t="s">
        <v>223</v>
      </c>
      <c r="AF310" s="240" t="s">
        <v>758</v>
      </c>
    </row>
    <row r="311" spans="1:33" ht="15.75" thickBot="1" x14ac:dyDescent="0.3">
      <c r="A311" s="121"/>
      <c r="B311" s="348" t="s">
        <v>263</v>
      </c>
      <c r="C311" s="349"/>
      <c r="D311" s="350"/>
      <c r="E311" s="351" t="s">
        <v>468</v>
      </c>
      <c r="F311" s="352">
        <f>D311</f>
        <v>0</v>
      </c>
      <c r="G311" s="353">
        <f>F311</f>
        <v>0</v>
      </c>
      <c r="H311" s="354"/>
      <c r="I311" s="354"/>
      <c r="J311" s="354"/>
      <c r="K311" s="354"/>
      <c r="L311" s="354"/>
      <c r="M311" s="355"/>
      <c r="N311" s="354"/>
      <c r="O311" s="356"/>
      <c r="P311" s="356"/>
      <c r="Q311" s="356"/>
      <c r="R311" s="356"/>
      <c r="S311" s="356"/>
      <c r="T311" s="357"/>
      <c r="U311" s="356"/>
      <c r="V311" s="356"/>
      <c r="W311" s="356"/>
      <c r="X311" s="357"/>
      <c r="Y311" s="358"/>
      <c r="Z311" s="359"/>
      <c r="AA311" s="360"/>
      <c r="AB311" s="361"/>
      <c r="AC311" s="616"/>
      <c r="AD311" s="362"/>
      <c r="AE311" s="362"/>
      <c r="AF311" s="363"/>
      <c r="AG311" s="124"/>
    </row>
    <row r="312" spans="1:33" x14ac:dyDescent="0.25">
      <c r="A312" s="747" t="s">
        <v>728</v>
      </c>
      <c r="B312" s="748"/>
      <c r="C312" s="749"/>
      <c r="D312" s="749"/>
      <c r="E312" s="749"/>
      <c r="F312" s="750"/>
      <c r="G312" s="750"/>
      <c r="H312" s="751"/>
      <c r="I312" s="751"/>
      <c r="J312" s="751"/>
      <c r="K312" s="751"/>
      <c r="L312" s="751"/>
      <c r="M312" s="751"/>
      <c r="N312" s="751"/>
      <c r="O312" s="751"/>
      <c r="P312" s="751"/>
      <c r="Q312" s="751"/>
      <c r="R312" s="751"/>
      <c r="S312" s="751"/>
      <c r="T312" s="752"/>
      <c r="U312" s="752"/>
      <c r="V312" s="752"/>
      <c r="W312" s="752"/>
      <c r="X312" s="752"/>
      <c r="Y312" s="750"/>
      <c r="Z312" s="750"/>
      <c r="AA312" s="750"/>
      <c r="AB312" s="750"/>
      <c r="AC312" s="750"/>
      <c r="AD312" s="753"/>
      <c r="AE312" s="750"/>
      <c r="AF312" s="750"/>
      <c r="AG312" s="750"/>
    </row>
    <row r="313" spans="1:33" x14ac:dyDescent="0.25">
      <c r="A313" s="120"/>
      <c r="B313" s="1" t="s">
        <v>728</v>
      </c>
      <c r="C313" s="233" t="s">
        <v>9</v>
      </c>
      <c r="E313" s="231" t="s">
        <v>468</v>
      </c>
      <c r="F313" s="826">
        <v>2307</v>
      </c>
      <c r="G313" s="295">
        <f>IF(E313=C313,1,F313/1000)</f>
        <v>2.3069999999999999</v>
      </c>
      <c r="H313" s="854">
        <v>144.15</v>
      </c>
      <c r="I313" s="235"/>
      <c r="J313" s="235"/>
      <c r="K313" s="414">
        <v>9.0489999999999995</v>
      </c>
      <c r="L313" s="414">
        <v>3.161</v>
      </c>
      <c r="M313" s="268">
        <v>-5.4710000000000001</v>
      </c>
      <c r="N313" s="250">
        <f>P313</f>
        <v>160.12900000000002</v>
      </c>
      <c r="O313" s="235"/>
      <c r="P313" s="475">
        <f>H313+K313+L313+M313+T313+IF($X$1="included",X313,0)</f>
        <v>160.12900000000002</v>
      </c>
      <c r="Q313" s="235"/>
      <c r="R313" s="235"/>
      <c r="S313" s="235"/>
      <c r="T313" s="212">
        <v>9.24</v>
      </c>
      <c r="U313" s="667"/>
      <c r="V313" s="667"/>
      <c r="W313" s="667"/>
      <c r="X313" s="212">
        <v>-1.7490000000000001</v>
      </c>
      <c r="Y313" s="114"/>
      <c r="Z313" s="127"/>
      <c r="AA313" s="254"/>
      <c r="AB313" s="255"/>
      <c r="AC313" s="163" t="s">
        <v>657</v>
      </c>
      <c r="AD313" t="s">
        <v>731</v>
      </c>
      <c r="AF313" s="416" t="s">
        <v>755</v>
      </c>
    </row>
    <row r="314" spans="1:33" x14ac:dyDescent="0.25">
      <c r="A314" s="820"/>
      <c r="B314" s="447" t="s">
        <v>727</v>
      </c>
      <c r="C314" s="449"/>
      <c r="D314" s="449"/>
      <c r="E314" s="450" t="s">
        <v>468</v>
      </c>
      <c r="F314" s="451"/>
      <c r="G314" s="452">
        <f>D314</f>
        <v>0</v>
      </c>
      <c r="H314" s="453"/>
      <c r="I314" s="453"/>
      <c r="J314" s="453"/>
      <c r="K314" s="453"/>
      <c r="L314" s="453"/>
      <c r="M314" s="453"/>
      <c r="N314" s="453"/>
      <c r="O314" s="455"/>
      <c r="P314" s="455"/>
      <c r="Q314" s="455"/>
      <c r="R314" s="455"/>
      <c r="S314" s="455"/>
      <c r="T314" s="455"/>
      <c r="U314" s="455"/>
      <c r="V314" s="455"/>
      <c r="W314" s="455"/>
      <c r="X314" s="455"/>
      <c r="Y314" s="822"/>
      <c r="Z314" s="822"/>
      <c r="AA314" s="823"/>
      <c r="AB314" s="823"/>
      <c r="AC314" s="824"/>
      <c r="AD314" s="461"/>
      <c r="AE314" s="461"/>
      <c r="AF314" s="462"/>
    </row>
    <row r="315" spans="1:33" ht="15.75" thickBot="1" x14ac:dyDescent="0.3">
      <c r="B315" s="1"/>
      <c r="C315" s="122"/>
      <c r="E315" s="122"/>
      <c r="H315" s="250"/>
      <c r="I315" s="250"/>
      <c r="J315" s="250"/>
      <c r="K315" s="250"/>
      <c r="L315" s="250"/>
      <c r="M315" s="250"/>
      <c r="N315" s="389"/>
      <c r="O315" s="250"/>
      <c r="P315" s="250"/>
      <c r="Q315" s="250"/>
      <c r="R315" s="250"/>
      <c r="S315" s="250"/>
      <c r="T315" s="469"/>
      <c r="U315" s="469"/>
      <c r="V315" s="469"/>
      <c r="W315" s="469"/>
      <c r="X315" s="469"/>
    </row>
    <row r="316" spans="1:33" x14ac:dyDescent="0.25">
      <c r="A316" s="661" t="s">
        <v>224</v>
      </c>
      <c r="B316" s="662"/>
      <c r="C316" s="663"/>
      <c r="D316" s="663"/>
      <c r="E316" s="663"/>
      <c r="F316" s="664"/>
      <c r="G316" s="664"/>
      <c r="H316" s="665"/>
      <c r="I316" s="665"/>
      <c r="J316" s="665"/>
      <c r="K316" s="665"/>
      <c r="L316" s="665"/>
      <c r="M316" s="665"/>
      <c r="N316" s="703"/>
      <c r="O316" s="665"/>
      <c r="P316" s="665"/>
      <c r="Q316" s="665"/>
      <c r="R316" s="665"/>
      <c r="S316" s="665"/>
      <c r="T316" s="704"/>
      <c r="U316" s="704"/>
      <c r="V316" s="704"/>
      <c r="W316" s="704"/>
      <c r="X316" s="704"/>
      <c r="Y316" s="664"/>
      <c r="Z316" s="664"/>
      <c r="AA316" s="664"/>
      <c r="AB316" s="664"/>
      <c r="AC316" s="664"/>
      <c r="AD316" s="664"/>
      <c r="AE316" s="664"/>
      <c r="AF316" s="664"/>
      <c r="AG316" s="664"/>
    </row>
    <row r="317" spans="1:33" x14ac:dyDescent="0.25">
      <c r="A317" s="120" t="s">
        <v>225</v>
      </c>
      <c r="B317" s="1" t="s">
        <v>18</v>
      </c>
      <c r="C317" s="233" t="s">
        <v>468</v>
      </c>
      <c r="E317" s="231" t="s">
        <v>468</v>
      </c>
      <c r="F317" s="732">
        <v>0.28999999999999998</v>
      </c>
      <c r="G317" s="243">
        <v>1</v>
      </c>
      <c r="H317" s="414">
        <v>1.06</v>
      </c>
      <c r="I317" s="235"/>
      <c r="J317" s="235"/>
      <c r="K317" s="325">
        <v>7.4200000000000004E-3</v>
      </c>
      <c r="L317" s="328"/>
      <c r="M317" s="251"/>
      <c r="N317" s="701">
        <v>3.0977716689199628</v>
      </c>
      <c r="O317" s="235"/>
      <c r="P317" s="250"/>
      <c r="Q317" s="235"/>
      <c r="R317" s="235"/>
      <c r="S317" s="235"/>
      <c r="T317" s="400">
        <f>0.0335+0.000882+0+0.0204</f>
        <v>5.4782000000000004E-2</v>
      </c>
      <c r="U317" s="336"/>
      <c r="V317" s="336"/>
      <c r="W317" s="336"/>
      <c r="X317" s="40">
        <f>-ModulCD!K12*(ModulCD!B70*ModulCD!K69/3.6+ModulCD!B71*ModulCD!K70/3.6)*F317</f>
        <v>-4.8526553164666281E-2</v>
      </c>
      <c r="Y317" s="253">
        <v>0</v>
      </c>
      <c r="Z317" s="239">
        <v>0</v>
      </c>
      <c r="AA317" s="254">
        <v>2021</v>
      </c>
      <c r="AB317" s="255">
        <v>2026</v>
      </c>
      <c r="AC317" s="127"/>
      <c r="AD317" t="s">
        <v>702</v>
      </c>
      <c r="AE317" s="240"/>
      <c r="AF317" s="831" t="s">
        <v>703</v>
      </c>
    </row>
    <row r="318" spans="1:33" ht="15.75" thickBot="1" x14ac:dyDescent="0.3">
      <c r="A318" s="121"/>
      <c r="B318" s="348" t="s">
        <v>265</v>
      </c>
      <c r="C318" s="349"/>
      <c r="D318" s="350"/>
      <c r="E318" s="351" t="s">
        <v>468</v>
      </c>
      <c r="F318" s="352">
        <f>D318</f>
        <v>0</v>
      </c>
      <c r="G318" s="353">
        <f>F318</f>
        <v>0</v>
      </c>
      <c r="H318" s="354"/>
      <c r="I318" s="354"/>
      <c r="J318" s="354"/>
      <c r="K318" s="354"/>
      <c r="L318" s="354"/>
      <c r="M318" s="355"/>
      <c r="N318" s="354"/>
      <c r="O318" s="356"/>
      <c r="P318" s="356"/>
      <c r="Q318" s="356"/>
      <c r="R318" s="356"/>
      <c r="S318" s="356"/>
      <c r="T318" s="357"/>
      <c r="U318" s="356"/>
      <c r="V318" s="356"/>
      <c r="W318" s="356"/>
      <c r="X318" s="357"/>
      <c r="Y318" s="358"/>
      <c r="Z318" s="359"/>
      <c r="AA318" s="360"/>
      <c r="AB318" s="361"/>
      <c r="AC318" s="616"/>
      <c r="AD318" s="362"/>
      <c r="AE318" s="362"/>
      <c r="AF318" s="363"/>
      <c r="AG318" s="124"/>
    </row>
    <row r="319" spans="1:33" ht="15.75" thickBot="1" x14ac:dyDescent="0.3">
      <c r="B319" s="1"/>
      <c r="C319" s="122"/>
      <c r="E319" s="122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S319" s="250"/>
      <c r="T319" s="469"/>
      <c r="U319" s="469"/>
      <c r="V319" s="469"/>
      <c r="W319" s="469"/>
      <c r="X319" s="469"/>
    </row>
    <row r="320" spans="1:33" x14ac:dyDescent="0.25">
      <c r="A320" s="405" t="s">
        <v>0</v>
      </c>
      <c r="B320" s="406"/>
      <c r="C320" s="312"/>
      <c r="D320" s="312"/>
      <c r="E320" s="312"/>
      <c r="F320" s="123"/>
      <c r="G320" s="123"/>
      <c r="H320" s="374"/>
      <c r="I320" s="374"/>
      <c r="J320" s="374"/>
      <c r="K320" s="374"/>
      <c r="L320" s="374"/>
      <c r="M320" s="374"/>
      <c r="N320" s="374"/>
      <c r="O320" s="374"/>
      <c r="P320" s="374"/>
      <c r="Q320" s="374"/>
      <c r="R320" s="374"/>
      <c r="S320" s="374"/>
      <c r="T320" s="673"/>
      <c r="U320" s="673"/>
      <c r="V320" s="673"/>
      <c r="W320" s="673"/>
      <c r="X320" s="673"/>
      <c r="Y320" s="123"/>
      <c r="Z320" s="123"/>
      <c r="AA320" s="123"/>
      <c r="AB320" s="123"/>
      <c r="AC320" s="123"/>
      <c r="AD320" s="413"/>
      <c r="AE320" s="123"/>
      <c r="AF320" s="123"/>
      <c r="AG320" s="123"/>
    </row>
    <row r="321" spans="1:33" x14ac:dyDescent="0.25">
      <c r="A321" s="330"/>
      <c r="B321" s="323" t="s">
        <v>738</v>
      </c>
      <c r="C321" s="233" t="s">
        <v>467</v>
      </c>
      <c r="D321" s="818">
        <v>216.37</v>
      </c>
      <c r="E321" s="231" t="s">
        <v>467</v>
      </c>
      <c r="F321" s="586">
        <v>2400</v>
      </c>
      <c r="G321" s="784">
        <v>1</v>
      </c>
      <c r="H321" s="785">
        <f>$D$4*D321</f>
        <v>216.37</v>
      </c>
      <c r="I321" s="180"/>
      <c r="J321" s="180"/>
      <c r="K321" s="325">
        <v>8.1999999999999993</v>
      </c>
      <c r="L321" s="331">
        <v>1.08</v>
      </c>
      <c r="M321" s="179">
        <v>-10</v>
      </c>
      <c r="N321" s="327">
        <f>$H$66+SUM(K321:M321,T321)</f>
        <v>787.58999999999992</v>
      </c>
      <c r="O321" s="235"/>
      <c r="P321" s="328">
        <f>SUM(H321:L321,T321)</f>
        <v>246.76</v>
      </c>
      <c r="Q321" s="235"/>
      <c r="R321" s="235"/>
      <c r="S321" s="235"/>
      <c r="T321" s="236">
        <f t="shared" si="6"/>
        <v>21.11</v>
      </c>
      <c r="U321" s="235"/>
      <c r="V321" s="235"/>
      <c r="W321" s="235"/>
      <c r="X321" s="237">
        <f>(Z321-Y321)*ModulCD!$O$3*F321</f>
        <v>0</v>
      </c>
      <c r="Y321" s="238">
        <v>0</v>
      </c>
      <c r="Z321" s="71">
        <v>0</v>
      </c>
      <c r="AA321" s="162">
        <v>2024</v>
      </c>
      <c r="AB321" s="162"/>
      <c r="AC321" t="s">
        <v>726</v>
      </c>
      <c r="AD321" t="s">
        <v>743</v>
      </c>
      <c r="AF321" s="240"/>
    </row>
    <row r="322" spans="1:33" x14ac:dyDescent="0.25">
      <c r="A322" s="120"/>
      <c r="B322" s="341" t="s">
        <v>267</v>
      </c>
      <c r="C322" s="242"/>
      <c r="D322" s="342"/>
      <c r="E322" s="231" t="s">
        <v>467</v>
      </c>
      <c r="F322" s="9">
        <f>D322</f>
        <v>0</v>
      </c>
      <c r="G322" s="243">
        <f>F322</f>
        <v>0</v>
      </c>
      <c r="H322" s="343"/>
      <c r="I322" s="343"/>
      <c r="J322" s="343"/>
      <c r="K322" s="343"/>
      <c r="L322" s="343"/>
      <c r="M322" s="181"/>
      <c r="N322" s="343"/>
      <c r="O322" s="344"/>
      <c r="P322" s="344"/>
      <c r="Q322" s="344"/>
      <c r="R322" s="344"/>
      <c r="S322" s="344"/>
      <c r="T322" s="244"/>
      <c r="U322" s="344"/>
      <c r="V322" s="344"/>
      <c r="W322" s="344"/>
      <c r="X322" s="244"/>
      <c r="Y322" s="245"/>
      <c r="Z322" s="246"/>
      <c r="AA322" s="75"/>
      <c r="AB322" s="68"/>
      <c r="AC322" s="82"/>
      <c r="AD322" s="115"/>
      <c r="AE322" s="115"/>
      <c r="AF322" s="346"/>
    </row>
    <row r="323" spans="1:33" x14ac:dyDescent="0.25">
      <c r="A323" s="747"/>
      <c r="B323" s="748"/>
      <c r="C323" s="749"/>
      <c r="D323" s="749"/>
      <c r="E323" s="749"/>
      <c r="F323" s="750"/>
      <c r="G323" s="750"/>
      <c r="H323" s="751"/>
      <c r="I323" s="751"/>
      <c r="J323" s="751"/>
      <c r="K323" s="751"/>
      <c r="L323" s="751"/>
      <c r="M323" s="751"/>
      <c r="N323" s="751"/>
      <c r="O323" s="751"/>
      <c r="P323" s="751"/>
      <c r="Q323" s="751"/>
      <c r="R323" s="751"/>
      <c r="S323" s="751"/>
      <c r="T323" s="752"/>
      <c r="U323" s="752"/>
      <c r="V323" s="752"/>
      <c r="W323" s="752"/>
      <c r="X323" s="752"/>
      <c r="Y323" s="750"/>
      <c r="Z323" s="750"/>
      <c r="AA323" s="750"/>
      <c r="AB323" s="750"/>
      <c r="AC323" s="750"/>
      <c r="AD323" s="753"/>
      <c r="AE323" s="750"/>
      <c r="AF323" s="750"/>
      <c r="AG323" s="750"/>
    </row>
    <row r="324" spans="1:33" x14ac:dyDescent="0.25">
      <c r="A324" s="330"/>
      <c r="B324" s="323" t="s">
        <v>739</v>
      </c>
      <c r="C324" s="233" t="s">
        <v>467</v>
      </c>
      <c r="D324" s="818">
        <v>191.27</v>
      </c>
      <c r="E324" s="231" t="s">
        <v>467</v>
      </c>
      <c r="F324" s="586">
        <v>2400</v>
      </c>
      <c r="G324" s="784">
        <v>1</v>
      </c>
      <c r="H324" s="785">
        <f>$D$4*D324</f>
        <v>191.27</v>
      </c>
      <c r="I324" s="180"/>
      <c r="J324" s="180"/>
      <c r="K324" s="325">
        <v>8.1999999999999993</v>
      </c>
      <c r="L324" s="331">
        <v>1.08</v>
      </c>
      <c r="M324" s="179">
        <v>-10</v>
      </c>
      <c r="N324" s="327">
        <f>$H$66+SUM(K324:M324,T324)</f>
        <v>787.58999999999992</v>
      </c>
      <c r="O324" s="235"/>
      <c r="P324" s="328">
        <f>SUM(H324:L324,T324)</f>
        <v>221.66000000000003</v>
      </c>
      <c r="Q324" s="235"/>
      <c r="R324" s="235"/>
      <c r="S324" s="235"/>
      <c r="T324" s="236">
        <f t="shared" si="6"/>
        <v>21.11</v>
      </c>
      <c r="U324" s="235"/>
      <c r="V324" s="235"/>
      <c r="W324" s="235"/>
      <c r="X324" s="237">
        <f>(Z324-Y324)*ModulCD!$O$3*F324</f>
        <v>-6.984</v>
      </c>
      <c r="Y324" s="238">
        <v>0</v>
      </c>
      <c r="Z324" s="71">
        <v>0.6</v>
      </c>
      <c r="AA324" s="162">
        <v>2024</v>
      </c>
      <c r="AB324" s="162"/>
      <c r="AC324" t="s">
        <v>726</v>
      </c>
      <c r="AD324" t="s">
        <v>744</v>
      </c>
      <c r="AF324" s="240"/>
    </row>
    <row r="325" spans="1:33" x14ac:dyDescent="0.25">
      <c r="A325" s="120"/>
      <c r="B325" s="341" t="s">
        <v>268</v>
      </c>
      <c r="C325" s="242"/>
      <c r="D325" s="342"/>
      <c r="E325" s="231" t="s">
        <v>467</v>
      </c>
      <c r="F325" s="9">
        <f>D325</f>
        <v>0</v>
      </c>
      <c r="G325" s="243">
        <f>F325</f>
        <v>0</v>
      </c>
      <c r="H325" s="343"/>
      <c r="I325" s="343"/>
      <c r="J325" s="343"/>
      <c r="K325" s="343"/>
      <c r="L325" s="343"/>
      <c r="M325" s="181"/>
      <c r="N325" s="343"/>
      <c r="O325" s="344"/>
      <c r="P325" s="344"/>
      <c r="Q325" s="344"/>
      <c r="R325" s="344"/>
      <c r="S325" s="344"/>
      <c r="T325" s="244"/>
      <c r="U325" s="344"/>
      <c r="V325" s="344"/>
      <c r="W325" s="344"/>
      <c r="X325" s="244"/>
      <c r="Y325" s="245"/>
      <c r="Z325" s="246"/>
      <c r="AA325" s="75"/>
      <c r="AB325" s="68"/>
      <c r="AC325" s="82"/>
      <c r="AD325" s="115"/>
      <c r="AE325" s="115"/>
      <c r="AF325" s="346"/>
    </row>
    <row r="326" spans="1:33" x14ac:dyDescent="0.25">
      <c r="A326" s="747" t="s">
        <v>741</v>
      </c>
      <c r="B326" s="748"/>
      <c r="C326" s="749"/>
      <c r="D326" s="749"/>
      <c r="E326" s="749"/>
      <c r="F326" s="750"/>
      <c r="G326" s="750"/>
      <c r="H326" s="751"/>
      <c r="I326" s="751"/>
      <c r="J326" s="751"/>
      <c r="K326" s="751"/>
      <c r="L326" s="751"/>
      <c r="M326" s="751"/>
      <c r="N326" s="751"/>
      <c r="O326" s="751"/>
      <c r="P326" s="751"/>
      <c r="Q326" s="751"/>
      <c r="R326" s="751"/>
      <c r="S326" s="751"/>
      <c r="T326" s="752"/>
      <c r="U326" s="752"/>
      <c r="V326" s="752"/>
      <c r="W326" s="752"/>
      <c r="X326" s="752"/>
      <c r="Y326" s="750"/>
      <c r="Z326" s="750"/>
      <c r="AA326" s="750"/>
      <c r="AB326" s="750"/>
      <c r="AC326" s="750"/>
      <c r="AD326" s="753"/>
      <c r="AE326" s="750"/>
      <c r="AF326" s="750"/>
      <c r="AG326" s="750"/>
    </row>
    <row r="327" spans="1:33" x14ac:dyDescent="0.25">
      <c r="A327" s="120"/>
      <c r="B327" s="1" t="s">
        <v>644</v>
      </c>
      <c r="C327" s="233" t="s">
        <v>9</v>
      </c>
      <c r="E327" s="231" t="s">
        <v>467</v>
      </c>
      <c r="F327" s="826">
        <v>2500</v>
      </c>
      <c r="G327" s="295">
        <f>IF(E327=C327,1,F327/1000)</f>
        <v>2.5</v>
      </c>
      <c r="H327" s="785">
        <v>43</v>
      </c>
      <c r="I327" s="235"/>
      <c r="J327" s="235"/>
      <c r="K327" s="325">
        <v>6</v>
      </c>
      <c r="L327" s="414">
        <v>0.86419999999999997</v>
      </c>
      <c r="M327" s="251"/>
      <c r="N327" s="475">
        <f>SUM(H327:L327)</f>
        <v>49.864199999999997</v>
      </c>
      <c r="O327" s="235"/>
      <c r="P327" s="475">
        <f>H327+K327+L327+M327+T327+IF($X$1="included",X327,0)</f>
        <v>50.454099999999997</v>
      </c>
      <c r="Q327" s="235"/>
      <c r="R327" s="235"/>
      <c r="S327" s="235"/>
      <c r="T327" s="212">
        <v>0.58989999999999998</v>
      </c>
      <c r="U327" s="667"/>
      <c r="V327" s="667"/>
      <c r="W327" s="667"/>
      <c r="X327" s="237">
        <f>(Z327-Y327)*ModulCD!$O$9*F327</f>
        <v>0</v>
      </c>
      <c r="Y327" s="868">
        <v>0</v>
      </c>
      <c r="Z327" s="869">
        <v>0</v>
      </c>
      <c r="AA327" s="254"/>
      <c r="AB327" s="255"/>
      <c r="AC327" s="127"/>
      <c r="AF327" s="240" t="s">
        <v>229</v>
      </c>
    </row>
    <row r="328" spans="1:33" x14ac:dyDescent="0.25">
      <c r="A328" s="120"/>
      <c r="B328" s="1" t="s">
        <v>645</v>
      </c>
      <c r="C328" s="233" t="s">
        <v>9</v>
      </c>
      <c r="E328" s="231" t="s">
        <v>467</v>
      </c>
      <c r="F328" s="826">
        <v>2500</v>
      </c>
      <c r="G328" s="295">
        <f t="shared" ref="G328:G334" si="105">IF(E328=C328,1,F328/1000)</f>
        <v>2.5</v>
      </c>
      <c r="H328" s="785">
        <v>54</v>
      </c>
      <c r="I328" s="235"/>
      <c r="J328" s="235"/>
      <c r="K328" s="325">
        <f>K327</f>
        <v>6</v>
      </c>
      <c r="L328" s="414">
        <f>L327</f>
        <v>0.86419999999999997</v>
      </c>
      <c r="M328" s="251"/>
      <c r="N328" s="475">
        <f t="shared" ref="N328:N334" si="106">SUM(H328:L328)</f>
        <v>60.864199999999997</v>
      </c>
      <c r="O328" s="235"/>
      <c r="P328" s="475">
        <f t="shared" ref="P328:P336" si="107">H328+K328+L328+M328+T328+IF($X$1="included",X328,0)</f>
        <v>61.454099999999997</v>
      </c>
      <c r="Q328" s="235"/>
      <c r="R328" s="235"/>
      <c r="S328" s="235"/>
      <c r="T328" s="212">
        <f>T327</f>
        <v>0.58989999999999998</v>
      </c>
      <c r="U328" s="667"/>
      <c r="V328" s="667"/>
      <c r="W328" s="667"/>
      <c r="X328" s="866">
        <f>X327</f>
        <v>0</v>
      </c>
      <c r="Y328" s="114"/>
      <c r="Z328" s="127"/>
      <c r="AA328" s="254"/>
      <c r="AB328" s="255"/>
      <c r="AC328" s="127"/>
      <c r="AF328" s="240"/>
    </row>
    <row r="329" spans="1:33" x14ac:dyDescent="0.25">
      <c r="A329" s="120"/>
      <c r="B329" s="1" t="s">
        <v>646</v>
      </c>
      <c r="C329" s="233" t="s">
        <v>9</v>
      </c>
      <c r="E329" s="231" t="s">
        <v>467</v>
      </c>
      <c r="F329" s="826">
        <v>2500</v>
      </c>
      <c r="G329" s="295">
        <f t="shared" si="105"/>
        <v>2.5</v>
      </c>
      <c r="H329" s="785">
        <v>72</v>
      </c>
      <c r="I329" s="235"/>
      <c r="J329" s="235"/>
      <c r="K329" s="325">
        <f t="shared" ref="K329:K334" si="108">K328</f>
        <v>6</v>
      </c>
      <c r="L329" s="414">
        <f t="shared" ref="L329:L334" si="109">L328</f>
        <v>0.86419999999999997</v>
      </c>
      <c r="M329" s="251"/>
      <c r="N329" s="475">
        <f t="shared" si="106"/>
        <v>78.864199999999997</v>
      </c>
      <c r="O329" s="235"/>
      <c r="P329" s="475">
        <f t="shared" si="107"/>
        <v>79.454099999999997</v>
      </c>
      <c r="Q329" s="235"/>
      <c r="R329" s="235"/>
      <c r="S329" s="235"/>
      <c r="T329" s="212">
        <f t="shared" ref="T329:T333" si="110">T328</f>
        <v>0.58989999999999998</v>
      </c>
      <c r="U329" s="667"/>
      <c r="V329" s="667"/>
      <c r="W329" s="667"/>
      <c r="X329" s="866">
        <f>X328</f>
        <v>0</v>
      </c>
      <c r="Y329" s="114"/>
      <c r="Z329" s="127"/>
      <c r="AA329" s="254"/>
      <c r="AB329" s="255"/>
      <c r="AC329" s="127"/>
      <c r="AF329" s="240"/>
    </row>
    <row r="330" spans="1:33" x14ac:dyDescent="0.25">
      <c r="A330" s="120"/>
      <c r="B330" s="1" t="s">
        <v>647</v>
      </c>
      <c r="C330" s="233" t="s">
        <v>9</v>
      </c>
      <c r="E330" s="231" t="s">
        <v>467</v>
      </c>
      <c r="F330" s="826">
        <v>2500</v>
      </c>
      <c r="G330" s="295">
        <f t="shared" si="105"/>
        <v>2.5</v>
      </c>
      <c r="H330" s="785">
        <v>74</v>
      </c>
      <c r="I330" s="235"/>
      <c r="J330" s="235"/>
      <c r="K330" s="325">
        <f t="shared" si="108"/>
        <v>6</v>
      </c>
      <c r="L330" s="414">
        <f t="shared" si="109"/>
        <v>0.86419999999999997</v>
      </c>
      <c r="M330" s="251"/>
      <c r="N330" s="475">
        <f t="shared" si="106"/>
        <v>80.864199999999997</v>
      </c>
      <c r="O330" s="235"/>
      <c r="P330" s="475">
        <f t="shared" si="107"/>
        <v>81.454099999999997</v>
      </c>
      <c r="Q330" s="235"/>
      <c r="R330" s="235"/>
      <c r="S330" s="235"/>
      <c r="T330" s="212">
        <f t="shared" si="110"/>
        <v>0.58989999999999998</v>
      </c>
      <c r="U330" s="667"/>
      <c r="V330" s="667"/>
      <c r="W330" s="667"/>
      <c r="X330" s="866">
        <f t="shared" ref="X330:X336" si="111">X329</f>
        <v>0</v>
      </c>
      <c r="Y330" s="114"/>
      <c r="Z330" s="127"/>
      <c r="AA330" s="254"/>
      <c r="AB330" s="255"/>
      <c r="AC330" s="127"/>
      <c r="AF330" s="240"/>
    </row>
    <row r="331" spans="1:33" x14ac:dyDescent="0.25">
      <c r="A331" s="120"/>
      <c r="B331" s="1" t="s">
        <v>648</v>
      </c>
      <c r="C331" s="233" t="s">
        <v>9</v>
      </c>
      <c r="E331" s="231" t="s">
        <v>467</v>
      </c>
      <c r="F331" s="826">
        <v>2500</v>
      </c>
      <c r="G331" s="295">
        <f t="shared" si="105"/>
        <v>2.5</v>
      </c>
      <c r="H331" s="785">
        <v>58</v>
      </c>
      <c r="I331" s="235"/>
      <c r="J331" s="235"/>
      <c r="K331" s="325">
        <f t="shared" si="108"/>
        <v>6</v>
      </c>
      <c r="L331" s="414">
        <f t="shared" si="109"/>
        <v>0.86419999999999997</v>
      </c>
      <c r="M331" s="251"/>
      <c r="N331" s="475">
        <f t="shared" si="106"/>
        <v>64.864199999999997</v>
      </c>
      <c r="O331" s="235"/>
      <c r="P331" s="475">
        <f t="shared" si="107"/>
        <v>65.454099999999997</v>
      </c>
      <c r="Q331" s="235"/>
      <c r="R331" s="235"/>
      <c r="S331" s="235"/>
      <c r="T331" s="212">
        <f t="shared" si="110"/>
        <v>0.58989999999999998</v>
      </c>
      <c r="U331" s="667"/>
      <c r="V331" s="667"/>
      <c r="W331" s="667"/>
      <c r="X331" s="866">
        <f t="shared" si="111"/>
        <v>0</v>
      </c>
      <c r="Y331" s="114"/>
      <c r="Z331" s="127"/>
      <c r="AA331" s="254"/>
      <c r="AB331" s="255"/>
      <c r="AC331" s="127"/>
      <c r="AF331" s="240"/>
    </row>
    <row r="332" spans="1:33" x14ac:dyDescent="0.25">
      <c r="A332" s="120"/>
      <c r="B332" s="1" t="s">
        <v>649</v>
      </c>
      <c r="C332" s="233" t="s">
        <v>9</v>
      </c>
      <c r="E332" s="231" t="s">
        <v>467</v>
      </c>
      <c r="F332" s="826">
        <v>2500</v>
      </c>
      <c r="G332" s="295">
        <f t="shared" si="105"/>
        <v>2.5</v>
      </c>
      <c r="H332" s="785">
        <v>69</v>
      </c>
      <c r="I332" s="235"/>
      <c r="J332" s="235"/>
      <c r="K332" s="325">
        <f t="shared" si="108"/>
        <v>6</v>
      </c>
      <c r="L332" s="414">
        <f t="shared" si="109"/>
        <v>0.86419999999999997</v>
      </c>
      <c r="M332" s="251"/>
      <c r="N332" s="475">
        <f t="shared" si="106"/>
        <v>75.864199999999997</v>
      </c>
      <c r="O332" s="235"/>
      <c r="P332" s="475">
        <f t="shared" si="107"/>
        <v>76.454099999999997</v>
      </c>
      <c r="Q332" s="235"/>
      <c r="R332" s="235"/>
      <c r="S332" s="235"/>
      <c r="T332" s="212">
        <f t="shared" si="110"/>
        <v>0.58989999999999998</v>
      </c>
      <c r="U332" s="667"/>
      <c r="V332" s="667"/>
      <c r="W332" s="667"/>
      <c r="X332" s="866">
        <f t="shared" si="111"/>
        <v>0</v>
      </c>
      <c r="Y332" s="114"/>
      <c r="Z332" s="127"/>
      <c r="AA332" s="254"/>
      <c r="AB332" s="255"/>
      <c r="AC332" s="127"/>
      <c r="AF332" s="240"/>
    </row>
    <row r="333" spans="1:33" s="9" customFormat="1" x14ac:dyDescent="0.25">
      <c r="A333" s="613"/>
      <c r="B333" s="1" t="s">
        <v>651</v>
      </c>
      <c r="C333" s="168" t="s">
        <v>9</v>
      </c>
      <c r="D333" s="333"/>
      <c r="E333" s="231" t="s">
        <v>467</v>
      </c>
      <c r="F333" s="826">
        <v>2400</v>
      </c>
      <c r="G333" s="295">
        <f t="shared" si="105"/>
        <v>2.4</v>
      </c>
      <c r="H333" s="785">
        <v>74</v>
      </c>
      <c r="I333" s="336"/>
      <c r="J333" s="336"/>
      <c r="K333" s="325">
        <f t="shared" si="108"/>
        <v>6</v>
      </c>
      <c r="L333" s="414">
        <f t="shared" si="109"/>
        <v>0.86419999999999997</v>
      </c>
      <c r="M333" s="207"/>
      <c r="N333" s="524">
        <f t="shared" si="106"/>
        <v>80.864199999999997</v>
      </c>
      <c r="O333" s="336"/>
      <c r="P333" s="430">
        <f t="shared" si="107"/>
        <v>81.454099999999997</v>
      </c>
      <c r="Q333" s="336"/>
      <c r="R333" s="336"/>
      <c r="S333" s="336"/>
      <c r="T333" s="212">
        <f t="shared" si="110"/>
        <v>0.58989999999999998</v>
      </c>
      <c r="U333" s="667"/>
      <c r="V333" s="667"/>
      <c r="W333" s="667"/>
      <c r="X333" s="866">
        <f t="shared" si="111"/>
        <v>0</v>
      </c>
      <c r="Y333" s="45"/>
      <c r="Z333" s="47"/>
      <c r="AA333" s="79"/>
      <c r="AB333" s="65"/>
      <c r="AC333" s="47"/>
      <c r="AF333" s="677" t="s">
        <v>230</v>
      </c>
    </row>
    <row r="334" spans="1:33" s="9" customFormat="1" x14ac:dyDescent="0.25">
      <c r="A334" s="613"/>
      <c r="B334" s="1" t="s">
        <v>650</v>
      </c>
      <c r="C334" s="168" t="s">
        <v>9</v>
      </c>
      <c r="D334" s="333"/>
      <c r="E334" s="231" t="s">
        <v>467</v>
      </c>
      <c r="F334" s="826">
        <v>2650</v>
      </c>
      <c r="G334" s="295">
        <f t="shared" si="105"/>
        <v>2.65</v>
      </c>
      <c r="H334" s="785">
        <v>79</v>
      </c>
      <c r="I334" s="336"/>
      <c r="J334" s="336"/>
      <c r="K334" s="325">
        <f t="shared" si="108"/>
        <v>6</v>
      </c>
      <c r="L334" s="414">
        <f t="shared" si="109"/>
        <v>0.86419999999999997</v>
      </c>
      <c r="M334" s="207"/>
      <c r="N334" s="524">
        <f t="shared" si="106"/>
        <v>85.864199999999997</v>
      </c>
      <c r="O334" s="336"/>
      <c r="P334" s="430">
        <f t="shared" si="107"/>
        <v>86.431799999999996</v>
      </c>
      <c r="Q334" s="336"/>
      <c r="R334" s="336"/>
      <c r="S334" s="336"/>
      <c r="T334" s="215">
        <v>0.56759999999999999</v>
      </c>
      <c r="U334" s="336"/>
      <c r="V334" s="336"/>
      <c r="W334" s="336"/>
      <c r="X334" s="867">
        <f t="shared" si="111"/>
        <v>0</v>
      </c>
      <c r="Y334" s="45"/>
      <c r="Z334" s="47"/>
      <c r="AA334" s="79"/>
      <c r="AB334" s="65"/>
      <c r="AC334" s="47"/>
      <c r="AF334" s="218" t="s">
        <v>510</v>
      </c>
    </row>
    <row r="335" spans="1:33" x14ac:dyDescent="0.25">
      <c r="A335" s="296"/>
      <c r="B335" s="571" t="s">
        <v>652</v>
      </c>
      <c r="C335" s="572" t="s">
        <v>9</v>
      </c>
      <c r="D335" s="573"/>
      <c r="E335" s="564" t="s">
        <v>467</v>
      </c>
      <c r="F335" s="825">
        <v>1800</v>
      </c>
      <c r="G335" s="683">
        <f>IF(E335=C335,1,F335/1000)</f>
        <v>1.8</v>
      </c>
      <c r="H335" s="785">
        <v>58</v>
      </c>
      <c r="I335" s="501"/>
      <c r="J335" s="501"/>
      <c r="K335" s="575">
        <f>K326</f>
        <v>0</v>
      </c>
      <c r="L335" s="574">
        <f>L326</f>
        <v>0</v>
      </c>
      <c r="M335" s="567"/>
      <c r="N335" s="566"/>
      <c r="O335" s="501"/>
      <c r="P335" s="499">
        <f t="shared" si="107"/>
        <v>58</v>
      </c>
      <c r="Q335" s="501"/>
      <c r="R335" s="501"/>
      <c r="S335" s="501"/>
      <c r="T335" s="686">
        <f>T326</f>
        <v>0</v>
      </c>
      <c r="U335" s="684"/>
      <c r="V335" s="684"/>
      <c r="W335" s="684"/>
      <c r="X335" s="866">
        <f t="shared" si="111"/>
        <v>0</v>
      </c>
      <c r="Y335" s="568"/>
      <c r="Z335" s="569"/>
      <c r="AA335" s="580"/>
      <c r="AB335" s="581"/>
      <c r="AC335" s="569"/>
      <c r="AD335" s="110"/>
      <c r="AE335" s="110"/>
      <c r="AF335" s="687"/>
      <c r="AG335" s="110"/>
    </row>
    <row r="336" spans="1:33" x14ac:dyDescent="0.25">
      <c r="A336" s="120"/>
      <c r="B336" s="1" t="s">
        <v>653</v>
      </c>
      <c r="C336" s="233" t="s">
        <v>9</v>
      </c>
      <c r="E336" s="231" t="s">
        <v>467</v>
      </c>
      <c r="F336" s="826">
        <v>1800</v>
      </c>
      <c r="G336" s="295">
        <f>IF(E336=C336,1,F336/1000)</f>
        <v>1.8</v>
      </c>
      <c r="H336" s="785">
        <v>74</v>
      </c>
      <c r="I336" s="235"/>
      <c r="J336" s="235"/>
      <c r="K336" s="325">
        <f>K327</f>
        <v>6</v>
      </c>
      <c r="L336" s="414">
        <f>L327</f>
        <v>0.86419999999999997</v>
      </c>
      <c r="M336" s="251"/>
      <c r="N336" s="250"/>
      <c r="O336" s="235"/>
      <c r="P336" s="475">
        <f t="shared" si="107"/>
        <v>81.454099999999997</v>
      </c>
      <c r="Q336" s="235"/>
      <c r="R336" s="235"/>
      <c r="S336" s="235"/>
      <c r="T336" s="212">
        <f>T327</f>
        <v>0.58989999999999998</v>
      </c>
      <c r="U336" s="667"/>
      <c r="V336" s="667"/>
      <c r="W336" s="667"/>
      <c r="X336" s="866">
        <f t="shared" si="111"/>
        <v>0</v>
      </c>
      <c r="Y336" s="114"/>
      <c r="Z336" s="127"/>
      <c r="AA336" s="254"/>
      <c r="AB336" s="255"/>
      <c r="AC336" s="127"/>
      <c r="AF336" s="240"/>
    </row>
    <row r="337" spans="1:33" x14ac:dyDescent="0.25">
      <c r="A337" s="120"/>
      <c r="B337" s="341" t="s">
        <v>271</v>
      </c>
      <c r="C337" s="242"/>
      <c r="D337" s="342"/>
      <c r="E337" s="231" t="s">
        <v>467</v>
      </c>
      <c r="F337" s="9">
        <f>IF(C337="kg",D337,IF(C337="t",D337*1000,1))</f>
        <v>1</v>
      </c>
      <c r="G337" s="243">
        <f>F337</f>
        <v>1</v>
      </c>
      <c r="H337" s="343"/>
      <c r="I337" s="343"/>
      <c r="J337" s="343"/>
      <c r="K337" s="343"/>
      <c r="L337" s="343"/>
      <c r="M337" s="181"/>
      <c r="N337" s="343"/>
      <c r="O337" s="344"/>
      <c r="P337" s="344"/>
      <c r="Q337" s="344"/>
      <c r="R337" s="344"/>
      <c r="S337" s="344"/>
      <c r="T337" s="244"/>
      <c r="U337" s="344"/>
      <c r="V337" s="344"/>
      <c r="W337" s="344"/>
      <c r="X337" s="244"/>
      <c r="Y337" s="245"/>
      <c r="Z337" s="246"/>
      <c r="AA337" s="75"/>
      <c r="AB337" s="68"/>
      <c r="AC337" s="82"/>
      <c r="AD337" s="115"/>
      <c r="AE337" s="115"/>
      <c r="AF337" s="346"/>
    </row>
    <row r="338" spans="1:33" x14ac:dyDescent="0.25">
      <c r="A338" s="747" t="s">
        <v>740</v>
      </c>
      <c r="B338" s="748"/>
      <c r="C338" s="749"/>
      <c r="D338" s="749"/>
      <c r="E338" s="749"/>
      <c r="F338" s="750"/>
      <c r="G338" s="750"/>
      <c r="H338" s="751"/>
      <c r="I338" s="751"/>
      <c r="J338" s="751"/>
      <c r="K338" s="751"/>
      <c r="L338" s="751"/>
      <c r="M338" s="751"/>
      <c r="N338" s="751"/>
      <c r="O338" s="751"/>
      <c r="P338" s="751"/>
      <c r="Q338" s="751"/>
      <c r="R338" s="751"/>
      <c r="S338" s="751"/>
      <c r="T338" s="752"/>
      <c r="U338" s="752"/>
      <c r="V338" s="752"/>
      <c r="W338" s="752"/>
      <c r="X338" s="752"/>
      <c r="Y338" s="750"/>
      <c r="Z338" s="750"/>
      <c r="AA338" s="750"/>
      <c r="AB338" s="750"/>
      <c r="AC338" s="750"/>
      <c r="AD338" s="753"/>
      <c r="AE338" s="750"/>
      <c r="AF338" s="750"/>
      <c r="AG338" s="750"/>
    </row>
    <row r="339" spans="1:33" x14ac:dyDescent="0.25">
      <c r="A339" s="296"/>
      <c r="B339" s="571" t="s">
        <v>639</v>
      </c>
      <c r="C339" s="572" t="s">
        <v>9</v>
      </c>
      <c r="D339" s="573"/>
      <c r="E339" s="564" t="s">
        <v>467</v>
      </c>
      <c r="F339" s="825">
        <v>2400</v>
      </c>
      <c r="G339" s="683">
        <f>IF(E339=C339,1,F339/1000)</f>
        <v>2.4</v>
      </c>
      <c r="H339" s="785">
        <v>42</v>
      </c>
      <c r="I339" s="501">
        <v>0</v>
      </c>
      <c r="J339" s="501">
        <v>0</v>
      </c>
      <c r="K339" s="575">
        <v>6</v>
      </c>
      <c r="L339" s="574">
        <v>0.74550000000000005</v>
      </c>
      <c r="M339" s="567"/>
      <c r="N339" s="566"/>
      <c r="O339" s="501"/>
      <c r="P339" s="499">
        <f t="shared" ref="P339:P345" si="112">H339+K339+L339+M339+T339+IF($X$1="included",X339,0)</f>
        <v>49.3354</v>
      </c>
      <c r="Q339" s="501"/>
      <c r="R339" s="501"/>
      <c r="S339" s="501"/>
      <c r="T339" s="686">
        <v>0.58989999999999998</v>
      </c>
      <c r="U339" s="684"/>
      <c r="V339" s="684"/>
      <c r="W339" s="684"/>
      <c r="X339" s="237">
        <f>(Z339-Y339)*ModulCD!$O$9*F339</f>
        <v>-13.501841741984604</v>
      </c>
      <c r="Y339" s="578">
        <v>0.25</v>
      </c>
      <c r="Z339" s="579">
        <v>0.3</v>
      </c>
      <c r="AA339" s="580"/>
      <c r="AB339" s="581"/>
      <c r="AC339" s="569" t="s">
        <v>654</v>
      </c>
      <c r="AD339" s="583" t="s">
        <v>226</v>
      </c>
      <c r="AE339" s="110"/>
      <c r="AF339" s="687" t="s">
        <v>227</v>
      </c>
      <c r="AG339" s="110"/>
    </row>
    <row r="340" spans="1:33" x14ac:dyDescent="0.25">
      <c r="A340" s="120"/>
      <c r="B340" s="1" t="s">
        <v>640</v>
      </c>
      <c r="C340" s="233" t="s">
        <v>9</v>
      </c>
      <c r="E340" s="231" t="s">
        <v>467</v>
      </c>
      <c r="F340" s="826">
        <v>2400</v>
      </c>
      <c r="G340" s="295">
        <f t="shared" ref="G340:G341" si="113">IF(E340=C340,1,F340/1000)</f>
        <v>2.4</v>
      </c>
      <c r="H340" s="785">
        <v>57</v>
      </c>
      <c r="I340" s="235"/>
      <c r="J340" s="235"/>
      <c r="K340" s="325">
        <f>K339</f>
        <v>6</v>
      </c>
      <c r="L340" s="414">
        <f>L339</f>
        <v>0.74550000000000005</v>
      </c>
      <c r="M340" s="251"/>
      <c r="N340" s="250"/>
      <c r="O340" s="235"/>
      <c r="P340" s="475">
        <f t="shared" si="112"/>
        <v>64.335399999999993</v>
      </c>
      <c r="Q340" s="235"/>
      <c r="R340" s="235"/>
      <c r="S340" s="235"/>
      <c r="T340" s="212">
        <f>T339</f>
        <v>0.58989999999999998</v>
      </c>
      <c r="U340" s="212">
        <f t="shared" ref="U340:X340" si="114">U339</f>
        <v>0</v>
      </c>
      <c r="V340" s="212">
        <f t="shared" si="114"/>
        <v>0</v>
      </c>
      <c r="W340" s="212">
        <f t="shared" si="114"/>
        <v>0</v>
      </c>
      <c r="X340" s="866">
        <f t="shared" si="114"/>
        <v>-13.501841741984604</v>
      </c>
      <c r="Y340" s="114"/>
      <c r="Z340" s="127"/>
      <c r="AA340" s="254"/>
      <c r="AB340" s="255"/>
      <c r="AC340" s="127" t="s">
        <v>654</v>
      </c>
      <c r="AD340" s="274"/>
      <c r="AF340" s="240"/>
    </row>
    <row r="341" spans="1:33" x14ac:dyDescent="0.25">
      <c r="A341" s="120"/>
      <c r="B341" s="1" t="s">
        <v>641</v>
      </c>
      <c r="C341" s="233" t="s">
        <v>9</v>
      </c>
      <c r="E341" s="231" t="s">
        <v>467</v>
      </c>
      <c r="F341" s="826">
        <v>2400</v>
      </c>
      <c r="G341" s="295">
        <f t="shared" si="113"/>
        <v>2.4</v>
      </c>
      <c r="H341" s="785">
        <v>61</v>
      </c>
      <c r="I341" s="235"/>
      <c r="J341" s="235"/>
      <c r="K341" s="325">
        <f>K340</f>
        <v>6</v>
      </c>
      <c r="L341" s="414">
        <f>L340</f>
        <v>0.74550000000000005</v>
      </c>
      <c r="M341" s="251"/>
      <c r="N341" s="250"/>
      <c r="O341" s="235"/>
      <c r="P341" s="475">
        <f>H341+K341+L341+M341+T341+IF($X$1="included",X341,0)</f>
        <v>68.335400000000007</v>
      </c>
      <c r="Q341" s="235"/>
      <c r="R341" s="235"/>
      <c r="S341" s="235"/>
      <c r="T341" s="212">
        <f>T340</f>
        <v>0.58989999999999998</v>
      </c>
      <c r="U341" s="212">
        <f t="shared" ref="U341" si="115">U340</f>
        <v>0</v>
      </c>
      <c r="V341" s="212">
        <f t="shared" ref="V341" si="116">V340</f>
        <v>0</v>
      </c>
      <c r="W341" s="212">
        <f t="shared" ref="W341" si="117">W340</f>
        <v>0</v>
      </c>
      <c r="X341" s="866">
        <f t="shared" ref="X341" si="118">X340</f>
        <v>-13.501841741984604</v>
      </c>
      <c r="Y341" s="114"/>
      <c r="Z341" s="127"/>
      <c r="AA341" s="254"/>
      <c r="AB341" s="255"/>
      <c r="AC341" s="127" t="s">
        <v>654</v>
      </c>
      <c r="AD341" s="274"/>
      <c r="AF341" s="240"/>
    </row>
    <row r="342" spans="1:33" x14ac:dyDescent="0.25">
      <c r="A342" s="120"/>
      <c r="B342" s="341" t="s">
        <v>269</v>
      </c>
      <c r="C342" s="242"/>
      <c r="D342" s="342"/>
      <c r="E342" s="231" t="s">
        <v>467</v>
      </c>
      <c r="F342" s="9">
        <f>D342</f>
        <v>0</v>
      </c>
      <c r="G342" s="243">
        <f>F342</f>
        <v>0</v>
      </c>
      <c r="H342" s="343"/>
      <c r="I342" s="343"/>
      <c r="J342" s="343"/>
      <c r="K342" s="343"/>
      <c r="L342" s="343"/>
      <c r="M342" s="181"/>
      <c r="N342" s="343"/>
      <c r="O342" s="344"/>
      <c r="P342" s="344"/>
      <c r="Q342" s="344"/>
      <c r="R342" s="344"/>
      <c r="S342" s="344"/>
      <c r="T342" s="244"/>
      <c r="U342" s="344"/>
      <c r="V342" s="344"/>
      <c r="W342" s="344"/>
      <c r="X342" s="244"/>
      <c r="Y342" s="245"/>
      <c r="Z342" s="246"/>
      <c r="AA342" s="75"/>
      <c r="AB342" s="68"/>
      <c r="AC342" s="82"/>
      <c r="AD342" s="115"/>
      <c r="AE342" s="115"/>
      <c r="AF342" s="346"/>
    </row>
    <row r="343" spans="1:33" x14ac:dyDescent="0.25">
      <c r="A343" s="747" t="s">
        <v>742</v>
      </c>
      <c r="B343" s="748"/>
      <c r="C343" s="749"/>
      <c r="D343" s="749"/>
      <c r="E343" s="749"/>
      <c r="F343" s="750"/>
      <c r="G343" s="750"/>
      <c r="H343" s="751"/>
      <c r="I343" s="751"/>
      <c r="J343" s="751"/>
      <c r="K343" s="751"/>
      <c r="L343" s="751"/>
      <c r="M343" s="751"/>
      <c r="N343" s="751"/>
      <c r="O343" s="751"/>
      <c r="P343" s="751"/>
      <c r="Q343" s="751"/>
      <c r="R343" s="751"/>
      <c r="S343" s="751"/>
      <c r="T343" s="752"/>
      <c r="U343" s="752"/>
      <c r="V343" s="752"/>
      <c r="W343" s="752"/>
      <c r="X343" s="752"/>
      <c r="Y343" s="750"/>
      <c r="Z343" s="750"/>
      <c r="AA343" s="750"/>
      <c r="AB343" s="750"/>
      <c r="AC343" s="750"/>
      <c r="AD343" s="753"/>
      <c r="AE343" s="750"/>
      <c r="AF343" s="750"/>
      <c r="AG343" s="750"/>
    </row>
    <row r="344" spans="1:33" x14ac:dyDescent="0.25">
      <c r="A344" s="296"/>
      <c r="B344" s="571" t="s">
        <v>642</v>
      </c>
      <c r="C344" s="572" t="s">
        <v>9</v>
      </c>
      <c r="D344" s="573"/>
      <c r="E344" s="564" t="s">
        <v>467</v>
      </c>
      <c r="F344" s="825">
        <v>2350</v>
      </c>
      <c r="G344" s="683">
        <f>IF(E344=C344,1,F344/1000)</f>
        <v>2.35</v>
      </c>
      <c r="H344" s="785">
        <v>37</v>
      </c>
      <c r="I344" s="501"/>
      <c r="J344" s="501"/>
      <c r="K344" s="575">
        <v>6</v>
      </c>
      <c r="L344" s="574">
        <v>0.66080000000000005</v>
      </c>
      <c r="M344" s="567"/>
      <c r="N344" s="566"/>
      <c r="O344" s="501"/>
      <c r="P344" s="499">
        <f t="shared" si="112"/>
        <v>44.250700000000002</v>
      </c>
      <c r="Q344" s="501"/>
      <c r="R344" s="501"/>
      <c r="S344" s="501"/>
      <c r="T344" s="686">
        <v>0.58989999999999998</v>
      </c>
      <c r="U344" s="684"/>
      <c r="V344" s="684"/>
      <c r="W344" s="684"/>
      <c r="X344" s="237">
        <f>(Z344-Y344)*ModulCD!$O$9*F344</f>
        <v>-13.220553372359925</v>
      </c>
      <c r="Y344" s="578">
        <v>0.25</v>
      </c>
      <c r="Z344" s="579">
        <v>0.3</v>
      </c>
      <c r="AA344" s="580"/>
      <c r="AB344" s="581"/>
      <c r="AC344" s="569"/>
      <c r="AD344" s="110"/>
      <c r="AE344" s="110"/>
      <c r="AF344" s="687" t="s">
        <v>228</v>
      </c>
      <c r="AG344" s="110"/>
    </row>
    <row r="345" spans="1:33" x14ac:dyDescent="0.25">
      <c r="A345" s="120"/>
      <c r="B345" s="1" t="s">
        <v>643</v>
      </c>
      <c r="C345" s="233" t="s">
        <v>9</v>
      </c>
      <c r="E345" s="231" t="s">
        <v>467</v>
      </c>
      <c r="F345" s="826">
        <v>2350</v>
      </c>
      <c r="G345" s="295">
        <f>IF(E345=C345,1,F345/1000)</f>
        <v>2.35</v>
      </c>
      <c r="H345" s="785">
        <v>45</v>
      </c>
      <c r="I345" s="235"/>
      <c r="J345" s="235"/>
      <c r="K345" s="325">
        <f>K344</f>
        <v>6</v>
      </c>
      <c r="L345" s="414">
        <f>L344</f>
        <v>0.66080000000000005</v>
      </c>
      <c r="M345" s="251"/>
      <c r="N345" s="250"/>
      <c r="O345" s="235"/>
      <c r="P345" s="475">
        <f t="shared" si="112"/>
        <v>52.250700000000002</v>
      </c>
      <c r="Q345" s="235"/>
      <c r="R345" s="235"/>
      <c r="S345" s="235"/>
      <c r="T345" s="212">
        <f>T344</f>
        <v>0.58989999999999998</v>
      </c>
      <c r="U345" s="212">
        <f t="shared" ref="U345" si="119">U344</f>
        <v>0</v>
      </c>
      <c r="V345" s="212">
        <f t="shared" ref="V345" si="120">V344</f>
        <v>0</v>
      </c>
      <c r="W345" s="212">
        <f t="shared" ref="W345" si="121">W344</f>
        <v>0</v>
      </c>
      <c r="X345" s="866">
        <f t="shared" ref="X345" si="122">X344</f>
        <v>-13.220553372359925</v>
      </c>
      <c r="Y345" s="114"/>
      <c r="Z345" s="127"/>
      <c r="AA345" s="254"/>
      <c r="AB345" s="255"/>
      <c r="AC345" s="127"/>
      <c r="AF345" s="240"/>
    </row>
    <row r="346" spans="1:33" x14ac:dyDescent="0.25">
      <c r="A346" s="820"/>
      <c r="B346" s="447" t="s">
        <v>270</v>
      </c>
      <c r="C346" s="449"/>
      <c r="D346" s="449"/>
      <c r="E346" s="450" t="s">
        <v>467</v>
      </c>
      <c r="F346" s="451">
        <f>D346</f>
        <v>0</v>
      </c>
      <c r="G346" s="821">
        <f>F346</f>
        <v>0</v>
      </c>
      <c r="H346" s="453"/>
      <c r="I346" s="453"/>
      <c r="J346" s="453"/>
      <c r="K346" s="453"/>
      <c r="L346" s="453"/>
      <c r="M346" s="453"/>
      <c r="N346" s="453"/>
      <c r="O346" s="455"/>
      <c r="P346" s="455"/>
      <c r="Q346" s="455"/>
      <c r="R346" s="455"/>
      <c r="S346" s="455"/>
      <c r="T346" s="455"/>
      <c r="U346" s="455"/>
      <c r="V346" s="455"/>
      <c r="W346" s="455"/>
      <c r="X346" s="455"/>
      <c r="Y346" s="822"/>
      <c r="Z346" s="822"/>
      <c r="AA346" s="823"/>
      <c r="AB346" s="823"/>
      <c r="AC346" s="824"/>
      <c r="AD346" s="461"/>
      <c r="AE346" s="461"/>
      <c r="AF346" s="462"/>
    </row>
    <row r="347" spans="1:33" x14ac:dyDescent="0.25">
      <c r="A347" s="747"/>
      <c r="B347" s="748"/>
      <c r="C347" s="749"/>
      <c r="D347" s="749"/>
      <c r="E347" s="749"/>
      <c r="F347" s="750"/>
      <c r="G347" s="750"/>
      <c r="H347" s="751"/>
      <c r="I347" s="751"/>
      <c r="J347" s="751"/>
      <c r="K347" s="751"/>
      <c r="L347" s="751"/>
      <c r="M347" s="751"/>
      <c r="N347" s="751"/>
      <c r="O347" s="751"/>
      <c r="P347" s="751"/>
      <c r="Q347" s="751"/>
      <c r="R347" s="751"/>
      <c r="S347" s="751"/>
      <c r="T347" s="752"/>
      <c r="U347" s="752"/>
      <c r="V347" s="752"/>
      <c r="W347" s="752"/>
      <c r="X347" s="752"/>
      <c r="Y347" s="750"/>
      <c r="Z347" s="750"/>
      <c r="AA347" s="750"/>
      <c r="AB347" s="750"/>
      <c r="AC347" s="750"/>
      <c r="AD347" s="753"/>
      <c r="AE347" s="750"/>
      <c r="AF347" s="750"/>
      <c r="AG347" s="750"/>
    </row>
    <row r="348" spans="1:33" s="25" customFormat="1" x14ac:dyDescent="0.25">
      <c r="A348" s="688"/>
      <c r="B348" s="682" t="s">
        <v>260</v>
      </c>
      <c r="C348" s="689" t="s">
        <v>9</v>
      </c>
      <c r="D348" s="690">
        <v>0</v>
      </c>
      <c r="E348" s="564" t="s">
        <v>467</v>
      </c>
      <c r="F348" s="730">
        <v>1.51</v>
      </c>
      <c r="G348" s="691">
        <f t="shared" ref="G348:G351" si="123">IF(E348=C348,1,F348)</f>
        <v>1.51</v>
      </c>
      <c r="H348" s="717">
        <f>H295</f>
        <v>2.4450000000000003</v>
      </c>
      <c r="I348" s="717">
        <f>I295</f>
        <v>0</v>
      </c>
      <c r="J348" s="717">
        <f>J295</f>
        <v>0</v>
      </c>
      <c r="K348" s="717">
        <f>K295</f>
        <v>6.23</v>
      </c>
      <c r="L348" s="717">
        <f>L295</f>
        <v>0.71523178807947019</v>
      </c>
      <c r="M348" s="692"/>
      <c r="N348" s="693"/>
      <c r="O348" s="694">
        <f t="shared" ref="O348:T348" si="124">O295</f>
        <v>0</v>
      </c>
      <c r="P348" s="717">
        <f t="shared" si="124"/>
        <v>16.33546357615894</v>
      </c>
      <c r="Q348" s="777">
        <f t="shared" si="124"/>
        <v>0</v>
      </c>
      <c r="R348" s="777">
        <f t="shared" si="124"/>
        <v>0</v>
      </c>
      <c r="S348" s="777">
        <f t="shared" si="124"/>
        <v>0</v>
      </c>
      <c r="T348" s="776">
        <f t="shared" si="124"/>
        <v>6.9452317880794707</v>
      </c>
      <c r="U348" s="684"/>
      <c r="V348" s="684"/>
      <c r="W348" s="684"/>
      <c r="X348" s="502">
        <f>(Z348-Y348)*ModulCD!$O$14*1000</f>
        <v>-1.4549999999999998</v>
      </c>
      <c r="Y348" s="685">
        <v>0</v>
      </c>
      <c r="Z348" s="579">
        <v>0.3</v>
      </c>
      <c r="AA348" s="778">
        <v>0</v>
      </c>
      <c r="AB348" s="779">
        <v>0</v>
      </c>
      <c r="AC348" s="695"/>
      <c r="AD348" s="696"/>
      <c r="AE348" s="696"/>
      <c r="AF348" s="697"/>
      <c r="AG348" s="696"/>
    </row>
    <row r="349" spans="1:33" x14ac:dyDescent="0.25">
      <c r="A349" s="120"/>
      <c r="B349" s="341" t="s">
        <v>272</v>
      </c>
      <c r="C349" s="242"/>
      <c r="D349" s="342"/>
      <c r="E349" s="231" t="s">
        <v>467</v>
      </c>
      <c r="F349" s="9">
        <f>D349</f>
        <v>0</v>
      </c>
      <c r="G349" s="243">
        <f>F349</f>
        <v>0</v>
      </c>
      <c r="H349" s="343"/>
      <c r="I349" s="343"/>
      <c r="J349" s="343"/>
      <c r="K349" s="343"/>
      <c r="L349" s="343"/>
      <c r="M349" s="181"/>
      <c r="N349" s="343"/>
      <c r="O349" s="344"/>
      <c r="P349" s="344"/>
      <c r="Q349" s="344"/>
      <c r="R349" s="344"/>
      <c r="S349" s="344"/>
      <c r="T349" s="244"/>
      <c r="U349" s="344"/>
      <c r="V349" s="344"/>
      <c r="W349" s="344"/>
      <c r="X349" s="244"/>
      <c r="Y349" s="245"/>
      <c r="Z349" s="246"/>
      <c r="AA349" s="75"/>
      <c r="AB349" s="68"/>
      <c r="AC349" s="82"/>
      <c r="AD349" s="115"/>
      <c r="AE349" s="115"/>
      <c r="AF349" s="346"/>
    </row>
    <row r="350" spans="1:33" x14ac:dyDescent="0.25">
      <c r="A350" s="747"/>
      <c r="B350" s="748"/>
      <c r="C350" s="749"/>
      <c r="D350" s="749"/>
      <c r="E350" s="749"/>
      <c r="F350" s="750"/>
      <c r="G350" s="750"/>
      <c r="H350" s="751"/>
      <c r="I350" s="751"/>
      <c r="J350" s="751"/>
      <c r="K350" s="751"/>
      <c r="L350" s="751"/>
      <c r="M350" s="751"/>
      <c r="N350" s="751"/>
      <c r="O350" s="751"/>
      <c r="P350" s="751"/>
      <c r="Q350" s="751"/>
      <c r="R350" s="751"/>
      <c r="S350" s="751"/>
      <c r="T350" s="752"/>
      <c r="U350" s="752"/>
      <c r="V350" s="752"/>
      <c r="W350" s="752"/>
      <c r="X350" s="752"/>
      <c r="Y350" s="750"/>
      <c r="Z350" s="750"/>
      <c r="AA350" s="750"/>
      <c r="AB350" s="750"/>
      <c r="AC350" s="750"/>
      <c r="AD350" s="753"/>
      <c r="AE350" s="750"/>
      <c r="AF350" s="750"/>
      <c r="AG350" s="750"/>
    </row>
    <row r="351" spans="1:33" s="25" customFormat="1" x14ac:dyDescent="0.25">
      <c r="A351" s="887"/>
      <c r="B351" s="676" t="s">
        <v>259</v>
      </c>
      <c r="C351" s="172" t="s">
        <v>9</v>
      </c>
      <c r="D351" s="671">
        <v>0</v>
      </c>
      <c r="E351" s="231" t="s">
        <v>467</v>
      </c>
      <c r="F351" s="731">
        <v>1.51</v>
      </c>
      <c r="G351" s="95">
        <f t="shared" si="123"/>
        <v>1.51</v>
      </c>
      <c r="H351" s="331">
        <f>H294</f>
        <v>5.5190000000000001</v>
      </c>
      <c r="I351" s="331">
        <f>I294</f>
        <v>0</v>
      </c>
      <c r="J351" s="331">
        <f>J294</f>
        <v>0</v>
      </c>
      <c r="K351" s="331">
        <f>K294</f>
        <v>6.23</v>
      </c>
      <c r="L351" s="331">
        <f>L294</f>
        <v>0.71523178807947019</v>
      </c>
      <c r="M351" s="213"/>
      <c r="N351" s="678"/>
      <c r="O351" s="679">
        <f t="shared" ref="O351:T351" si="125">O294</f>
        <v>0</v>
      </c>
      <c r="P351" s="331">
        <f t="shared" si="125"/>
        <v>19.409463576158942</v>
      </c>
      <c r="Q351" s="780">
        <f t="shared" si="125"/>
        <v>0</v>
      </c>
      <c r="R351" s="780">
        <f t="shared" si="125"/>
        <v>0</v>
      </c>
      <c r="S351" s="780">
        <f t="shared" si="125"/>
        <v>0</v>
      </c>
      <c r="T351" s="179">
        <f t="shared" si="125"/>
        <v>6.9452317880794707</v>
      </c>
      <c r="U351" s="667"/>
      <c r="V351" s="667"/>
      <c r="W351" s="667"/>
      <c r="X351" s="40">
        <f>(Z351-Y351)*ModulCD!$O$14*1000</f>
        <v>-1.4549999999999998</v>
      </c>
      <c r="Y351" s="253">
        <v>0</v>
      </c>
      <c r="Z351" s="239">
        <v>0.3</v>
      </c>
      <c r="AA351" s="781">
        <v>0</v>
      </c>
      <c r="AB351" s="782">
        <v>0</v>
      </c>
      <c r="AC351" s="74"/>
      <c r="AF351" s="669"/>
    </row>
    <row r="352" spans="1:33" ht="15.75" thickBot="1" x14ac:dyDescent="0.3">
      <c r="A352" s="120"/>
      <c r="B352" s="341" t="s">
        <v>273</v>
      </c>
      <c r="C352" s="242"/>
      <c r="D352" s="342"/>
      <c r="E352" s="231" t="s">
        <v>467</v>
      </c>
      <c r="F352" s="9">
        <f>D352</f>
        <v>0</v>
      </c>
      <c r="G352" s="243">
        <f>F352</f>
        <v>0</v>
      </c>
      <c r="H352" s="343"/>
      <c r="I352" s="343"/>
      <c r="J352" s="343"/>
      <c r="K352" s="343"/>
      <c r="L352" s="343"/>
      <c r="M352" s="181"/>
      <c r="N352" s="343"/>
      <c r="O352" s="344"/>
      <c r="P352" s="344"/>
      <c r="Q352" s="344"/>
      <c r="R352" s="344"/>
      <c r="S352" s="344"/>
      <c r="T352" s="244"/>
      <c r="U352" s="344"/>
      <c r="V352" s="344"/>
      <c r="W352" s="344"/>
      <c r="X352" s="244"/>
      <c r="Y352" s="245"/>
      <c r="Z352" s="246"/>
      <c r="AA352" s="75"/>
      <c r="AB352" s="68"/>
      <c r="AC352" s="82"/>
      <c r="AD352" s="115"/>
      <c r="AE352" s="115"/>
      <c r="AF352" s="346"/>
    </row>
    <row r="353" spans="1:36" ht="15.75" thickBot="1" x14ac:dyDescent="0.3">
      <c r="A353" s="888" t="s">
        <v>361</v>
      </c>
      <c r="B353" s="739"/>
      <c r="C353" s="740"/>
      <c r="D353" s="740"/>
      <c r="E353" s="740"/>
      <c r="F353" s="741"/>
      <c r="G353" s="741"/>
      <c r="H353" s="742"/>
      <c r="I353" s="742"/>
      <c r="J353" s="742"/>
      <c r="K353" s="742"/>
      <c r="L353" s="742"/>
      <c r="M353" s="742"/>
      <c r="N353" s="742"/>
      <c r="O353" s="742"/>
      <c r="P353" s="742"/>
      <c r="Q353" s="742"/>
      <c r="R353" s="742"/>
      <c r="S353" s="742"/>
      <c r="T353" s="743"/>
      <c r="U353" s="743"/>
      <c r="V353" s="743"/>
      <c r="W353" s="743"/>
      <c r="X353" s="743"/>
      <c r="Y353" s="741"/>
      <c r="Z353" s="741"/>
      <c r="AA353" s="741"/>
      <c r="AB353" s="741"/>
      <c r="AC353" s="741"/>
      <c r="AD353" s="741"/>
      <c r="AE353" s="741"/>
      <c r="AF353" s="741"/>
      <c r="AG353" s="741"/>
    </row>
    <row r="354" spans="1:36" x14ac:dyDescent="0.25">
      <c r="A354" s="120"/>
      <c r="B354" s="1" t="s">
        <v>16</v>
      </c>
      <c r="C354" s="172" t="s">
        <v>9</v>
      </c>
      <c r="E354" s="231" t="s">
        <v>467</v>
      </c>
      <c r="F354" s="680">
        <f>AVERAGE(F339:F341,F344:F345,F327:F334,F313:F313)</f>
        <v>2446.9285714285716</v>
      </c>
      <c r="G354" s="672">
        <f>IF(E354=C354,1,F354/1000)</f>
        <v>2.4469285714285713</v>
      </c>
      <c r="H354" s="328">
        <f>(0.03*H333+0.06*H341+0.03*H329)/(0.03+0.06+0.03)</f>
        <v>67</v>
      </c>
      <c r="I354" s="328"/>
      <c r="J354" s="328"/>
      <c r="K354" s="328">
        <f>(0.03*K333+0.06*K341+0.03*K329)/(0.03+0.06+0.03)</f>
        <v>6</v>
      </c>
      <c r="L354" s="328">
        <f>(0.03*L333+0.06*L341+0.03*L329)/(0.03+0.06+0.03)</f>
        <v>0.80485000000000007</v>
      </c>
      <c r="M354" s="328">
        <f>(0.03*M333+0.06*M341+0.03*M329)/(0.03+0.06+0.03)</f>
        <v>0</v>
      </c>
      <c r="N354" s="436">
        <f>SUM(H354:L354)</f>
        <v>73.804850000000002</v>
      </c>
      <c r="O354" s="328"/>
      <c r="P354" s="436">
        <f>H354+K354+L354+M354+T354+IF($X$1="included",X354,0)</f>
        <v>74.394750000000002</v>
      </c>
      <c r="Q354" s="250"/>
      <c r="R354" s="250"/>
      <c r="S354" s="250"/>
      <c r="T354" s="328">
        <f>(0.03*T333+0.06*T341+0.03*T329)/(0.03+0.06+0.03)</f>
        <v>0.58989999999999998</v>
      </c>
      <c r="U354" s="638">
        <f>AVERAGE(U339:U341,U344:U345,U327:U334,U313:U313)</f>
        <v>0</v>
      </c>
      <c r="V354" s="638">
        <f>AVERAGE(V339:V341,V344:V345,V327:V334,V313:V313)</f>
        <v>0</v>
      </c>
      <c r="W354" s="638">
        <f>AVERAGE(W339:W341,W344:W345,W327:W334,W313:W313)</f>
        <v>0</v>
      </c>
      <c r="X354" s="328">
        <f>(0.03*X333+0.06*X341+0.03*X329)/(0.03+0.06+0.03)</f>
        <v>-6.7509208709923021</v>
      </c>
      <c r="Y354" s="114"/>
      <c r="Z354" s="127"/>
      <c r="AA354" s="272"/>
      <c r="AB354" s="273"/>
      <c r="AC354" s="127"/>
    </row>
    <row r="355" spans="1:36" x14ac:dyDescent="0.25">
      <c r="A355" s="120"/>
      <c r="B355" s="1" t="s">
        <v>2</v>
      </c>
      <c r="C355" s="172" t="s">
        <v>467</v>
      </c>
      <c r="E355" s="231" t="s">
        <v>467</v>
      </c>
      <c r="F355" s="680">
        <v>2775</v>
      </c>
      <c r="G355" s="672">
        <f>IF(E355=C355,1,F355/1000)</f>
        <v>1</v>
      </c>
      <c r="H355" s="328">
        <f>(0.04*H321+0.21*H324+0.03*H328*$G$328)/(0.04+0.21+0.03)</f>
        <v>188.82678571428568</v>
      </c>
      <c r="I355" s="326"/>
      <c r="J355" s="326"/>
      <c r="K355" s="328">
        <f>(0.04*K321+0.21*K324+0.03*K328*$G$328)/(0.04+0.21+0.03)</f>
        <v>8.928571428571427</v>
      </c>
      <c r="L355" s="328">
        <f>(0.04*L321+0.21*L324+0.03*L328*$G$328)/(0.04+0.21+0.03)</f>
        <v>1.1957678571428572</v>
      </c>
      <c r="M355" s="328">
        <f>(0.04*M321+0.21*M324+0.03*M328*$G$328)/(0.04+0.21+0.03)</f>
        <v>-8.928571428571427</v>
      </c>
      <c r="N355" s="475">
        <f>SUM(H355:L355)</f>
        <v>198.95112499999996</v>
      </c>
      <c r="O355" s="235"/>
      <c r="P355" s="475">
        <f>H355+K355+L355+M355+T355+IF($X$1="included",X355,0)</f>
        <v>209.02877678571426</v>
      </c>
      <c r="Q355" s="326"/>
      <c r="R355" s="326"/>
      <c r="S355" s="326"/>
      <c r="T355" s="328">
        <f>(0.04*T321+0.21*T324+0.03*T328*$G$328)/(0.04+0.21+0.03)</f>
        <v>19.006223214285711</v>
      </c>
      <c r="U355" s="338"/>
      <c r="V355" s="338"/>
      <c r="W355" s="338"/>
      <c r="X355" s="328">
        <f>(0.04*X321+0.21*X324+0.03*X328*$G$328)/(0.04+0.21+0.03)</f>
        <v>-5.2379999999999995</v>
      </c>
      <c r="Y355" s="114"/>
      <c r="Z355" s="127"/>
      <c r="AA355" s="255">
        <v>2024</v>
      </c>
      <c r="AB355" s="289">
        <v>2029</v>
      </c>
      <c r="AC355" s="163" t="s">
        <v>657</v>
      </c>
      <c r="AD355" t="s">
        <v>731</v>
      </c>
      <c r="AF355" t="s">
        <v>755</v>
      </c>
    </row>
    <row r="356" spans="1:36" ht="15.75" thickBot="1" x14ac:dyDescent="0.3">
      <c r="A356" s="121"/>
      <c r="B356" s="348" t="s">
        <v>524</v>
      </c>
      <c r="C356" s="744"/>
      <c r="D356" s="350"/>
      <c r="E356" s="351" t="s">
        <v>467</v>
      </c>
      <c r="F356" s="9">
        <f>IF(C356="t",D356,IF(C356="kg",D356/1000,1))</f>
        <v>1</v>
      </c>
      <c r="G356" s="353">
        <f>F356</f>
        <v>1</v>
      </c>
      <c r="H356" s="356"/>
      <c r="I356" s="356"/>
      <c r="J356" s="356"/>
      <c r="K356" s="356"/>
      <c r="L356" s="356"/>
      <c r="M356" s="357"/>
      <c r="N356" s="354"/>
      <c r="O356" s="356"/>
      <c r="P356" s="354"/>
      <c r="Q356" s="356"/>
      <c r="R356" s="356"/>
      <c r="S356" s="356"/>
      <c r="T356" s="357"/>
      <c r="U356" s="745"/>
      <c r="V356" s="745"/>
      <c r="W356" s="745"/>
      <c r="X356" s="357"/>
      <c r="Y356" s="746"/>
      <c r="Z356" s="675"/>
      <c r="AA356" s="746"/>
      <c r="AB356" s="675"/>
      <c r="AC356" s="635"/>
      <c r="AD356" s="124"/>
      <c r="AE356" s="124"/>
      <c r="AF356" s="681"/>
      <c r="AG356" s="124"/>
    </row>
    <row r="357" spans="1:36" ht="15.75" thickBot="1" x14ac:dyDescent="0.3">
      <c r="A357" s="1"/>
      <c r="B357" s="1"/>
      <c r="C357" s="122"/>
      <c r="E357" s="122"/>
      <c r="F357" s="741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S357" s="250"/>
      <c r="T357" s="469"/>
      <c r="U357" s="469"/>
      <c r="V357" s="469"/>
      <c r="W357" s="469"/>
      <c r="X357" s="469"/>
    </row>
    <row r="358" spans="1:36" x14ac:dyDescent="0.25">
      <c r="A358" s="405" t="s">
        <v>17</v>
      </c>
      <c r="B358" s="728" t="s">
        <v>719</v>
      </c>
      <c r="C358" s="365" t="s">
        <v>467</v>
      </c>
      <c r="D358" s="759"/>
      <c r="E358" s="313" t="s">
        <v>467</v>
      </c>
      <c r="F358" s="767">
        <v>1.895</v>
      </c>
      <c r="G358" s="368"/>
      <c r="H358" s="369">
        <v>353</v>
      </c>
      <c r="I358" s="370"/>
      <c r="J358" s="370"/>
      <c r="K358" s="369">
        <v>2.5</v>
      </c>
      <c r="L358" s="369">
        <v>17.600000000000001</v>
      </c>
      <c r="M358" s="847">
        <v>-32.4</v>
      </c>
      <c r="N358" s="760">
        <f>H358+K358+L358+M358+T358</f>
        <v>357.78000000000003</v>
      </c>
      <c r="O358" s="761"/>
      <c r="P358" s="612"/>
      <c r="Q358" s="370"/>
      <c r="R358" s="370"/>
      <c r="S358" s="370"/>
      <c r="T358" s="847">
        <f>8.99+7.07-1.06+2.08</f>
        <v>17.080000000000002</v>
      </c>
      <c r="U358" s="707"/>
      <c r="V358" s="707"/>
      <c r="W358" s="707"/>
      <c r="X358" s="708">
        <f>(Z358-Y358)*ModulCD!$O$3*F358</f>
        <v>0</v>
      </c>
      <c r="Y358" s="377">
        <v>0</v>
      </c>
      <c r="Z358" s="320">
        <v>0</v>
      </c>
      <c r="AA358" s="762">
        <v>2024</v>
      </c>
      <c r="AB358" s="763">
        <v>2029</v>
      </c>
      <c r="AC358" s="764" t="s">
        <v>377</v>
      </c>
      <c r="AD358" s="123" t="s">
        <v>217</v>
      </c>
      <c r="AE358" s="413"/>
      <c r="AF358" s="413" t="s">
        <v>218</v>
      </c>
      <c r="AG358" s="123"/>
    </row>
    <row r="359" spans="1:36" x14ac:dyDescent="0.25">
      <c r="A359" s="329"/>
      <c r="B359" s="397" t="s">
        <v>720</v>
      </c>
      <c r="C359" s="165" t="s">
        <v>467</v>
      </c>
      <c r="D359" s="652"/>
      <c r="E359" s="231" t="s">
        <v>467</v>
      </c>
      <c r="F359" s="767">
        <v>1.9850000000000001</v>
      </c>
      <c r="G359" s="87"/>
      <c r="H359" s="400">
        <v>255</v>
      </c>
      <c r="I359" s="180"/>
      <c r="J359" s="180"/>
      <c r="K359" s="400">
        <v>2.61</v>
      </c>
      <c r="L359" s="400">
        <v>15</v>
      </c>
      <c r="M359" s="848">
        <v>-17.7</v>
      </c>
      <c r="N359" s="768">
        <f>H359+K359+L359+M359+T359</f>
        <v>267.35000000000002</v>
      </c>
      <c r="O359" s="674"/>
      <c r="P359" s="402"/>
      <c r="Q359" s="180"/>
      <c r="R359" s="180"/>
      <c r="S359" s="180"/>
      <c r="T359" s="400">
        <f>8.99+7.41+1.2-5.16</f>
        <v>12.439999999999998</v>
      </c>
      <c r="U359" s="667"/>
      <c r="V359" s="667"/>
      <c r="W359" s="667"/>
      <c r="X359" s="40">
        <f>(Z359-Y359)*ModulCD!$O$3*F359</f>
        <v>0</v>
      </c>
      <c r="Y359" s="253"/>
      <c r="Z359" s="239">
        <v>0</v>
      </c>
      <c r="AA359" s="77">
        <v>2024</v>
      </c>
      <c r="AB359" s="62">
        <v>2029</v>
      </c>
      <c r="AC359" s="59"/>
      <c r="AE359" s="274"/>
      <c r="AF359" s="274"/>
    </row>
    <row r="360" spans="1:36" x14ac:dyDescent="0.25">
      <c r="A360" s="329"/>
      <c r="B360" s="397" t="s">
        <v>530</v>
      </c>
      <c r="C360" s="165" t="s">
        <v>9</v>
      </c>
      <c r="D360" s="652"/>
      <c r="E360" s="231" t="s">
        <v>467</v>
      </c>
      <c r="F360" s="767">
        <v>1.44</v>
      </c>
      <c r="G360" s="87">
        <f>F360</f>
        <v>1.44</v>
      </c>
      <c r="H360" s="400">
        <v>553</v>
      </c>
      <c r="I360" s="180"/>
      <c r="J360" s="180"/>
      <c r="K360" s="436">
        <f>K358</f>
        <v>2.5</v>
      </c>
      <c r="L360" s="436">
        <f>L358</f>
        <v>17.600000000000001</v>
      </c>
      <c r="M360" s="191">
        <v>0</v>
      </c>
      <c r="N360" s="768">
        <f>H360+K360+L360+M360+T360</f>
        <v>590.18000000000006</v>
      </c>
      <c r="O360" s="674"/>
      <c r="P360" s="402"/>
      <c r="Q360" s="180"/>
      <c r="R360" s="180"/>
      <c r="S360" s="180"/>
      <c r="T360" s="436">
        <f>T358</f>
        <v>17.080000000000002</v>
      </c>
      <c r="U360" s="667"/>
      <c r="V360" s="667"/>
      <c r="W360" s="667"/>
      <c r="X360" s="40">
        <f>(Z360-Y360)*ModulCD!$O$3*F360</f>
        <v>0</v>
      </c>
      <c r="Y360" s="253">
        <f t="shared" ref="E360:AF364" si="126">Y293</f>
        <v>0</v>
      </c>
      <c r="Z360" s="239">
        <v>0</v>
      </c>
      <c r="AA360" s="77">
        <v>2022</v>
      </c>
      <c r="AB360" s="62">
        <v>2027</v>
      </c>
      <c r="AC360" s="59"/>
      <c r="AE360" s="274"/>
      <c r="AF360" s="416" t="s">
        <v>718</v>
      </c>
    </row>
    <row r="361" spans="1:36" x14ac:dyDescent="0.25">
      <c r="A361" s="120"/>
      <c r="B361" s="1" t="str">
        <f>B294</f>
        <v>Schotter (Korngrößen 32 - 63 mm)</v>
      </c>
      <c r="C361" s="233" t="str">
        <f>C294</f>
        <v>t</v>
      </c>
      <c r="D361" s="630"/>
      <c r="E361" s="231" t="str">
        <f t="shared" si="126"/>
        <v>m3</v>
      </c>
      <c r="F361" s="731">
        <f t="shared" si="126"/>
        <v>1.51</v>
      </c>
      <c r="G361" s="87">
        <f t="shared" si="126"/>
        <v>1.51</v>
      </c>
      <c r="H361" s="765">
        <f t="shared" si="126"/>
        <v>5.5190000000000001</v>
      </c>
      <c r="I361" s="196">
        <f t="shared" si="126"/>
        <v>0</v>
      </c>
      <c r="J361" s="196">
        <f t="shared" si="126"/>
        <v>0</v>
      </c>
      <c r="K361" s="444">
        <f t="shared" si="126"/>
        <v>6.23</v>
      </c>
      <c r="L361" s="331">
        <f t="shared" si="126"/>
        <v>0.71523178807947019</v>
      </c>
      <c r="M361" s="201">
        <f t="shared" si="126"/>
        <v>0</v>
      </c>
      <c r="N361" s="436">
        <f t="shared" si="126"/>
        <v>12.46423178807947</v>
      </c>
      <c r="O361" s="180">
        <f t="shared" si="126"/>
        <v>0</v>
      </c>
      <c r="P361" s="415">
        <f t="shared" si="126"/>
        <v>19.409463576158942</v>
      </c>
      <c r="Q361" s="235">
        <f t="shared" si="126"/>
        <v>0</v>
      </c>
      <c r="R361" s="235">
        <f t="shared" si="126"/>
        <v>0</v>
      </c>
      <c r="S361" s="235">
        <f t="shared" si="126"/>
        <v>0</v>
      </c>
      <c r="T361" s="444">
        <f t="shared" si="126"/>
        <v>6.9452317880794707</v>
      </c>
      <c r="U361" s="667">
        <f t="shared" si="126"/>
        <v>0</v>
      </c>
      <c r="V361" s="667">
        <f t="shared" si="126"/>
        <v>0</v>
      </c>
      <c r="W361" s="667">
        <f t="shared" si="126"/>
        <v>0</v>
      </c>
      <c r="X361" s="40">
        <f>X294</f>
        <v>-2.8809</v>
      </c>
      <c r="Y361" s="253">
        <f t="shared" si="126"/>
        <v>0</v>
      </c>
      <c r="Z361" s="239">
        <f>Z294</f>
        <v>0.59399999999999997</v>
      </c>
      <c r="AA361" s="114">
        <f t="shared" si="126"/>
        <v>0</v>
      </c>
      <c r="AB361" s="127">
        <f t="shared" si="126"/>
        <v>0</v>
      </c>
      <c r="AC361" s="266" t="str">
        <f t="shared" si="126"/>
        <v xml:space="preserve">Schotter-Referenzen gemittelt </v>
      </c>
      <c r="AD361" t="str">
        <f t="shared" si="126"/>
        <v xml:space="preserve">Dichte aus: https://www.kiesdirekt.de/shop/menge-rechner.asp?groupid=24&amp;productid=386
</v>
      </c>
      <c r="AE361">
        <f t="shared" si="126"/>
        <v>0</v>
      </c>
      <c r="AF361" s="240">
        <f t="shared" si="126"/>
        <v>0</v>
      </c>
      <c r="AG361" s="141"/>
      <c r="AH361" s="141"/>
      <c r="AI361" s="141"/>
      <c r="AJ361" s="141"/>
    </row>
    <row r="362" spans="1:36" x14ac:dyDescent="0.25">
      <c r="A362" s="120"/>
      <c r="B362" s="1" t="str">
        <f>B295</f>
        <v>Kies (Korngröße 2 bis 63 mm)</v>
      </c>
      <c r="C362" s="233" t="str">
        <f t="shared" ref="C362:R364" si="127">C295</f>
        <v>t</v>
      </c>
      <c r="D362" s="630"/>
      <c r="E362" s="231" t="str">
        <f t="shared" si="127"/>
        <v>m3</v>
      </c>
      <c r="F362" s="731">
        <f t="shared" si="127"/>
        <v>1.51</v>
      </c>
      <c r="G362" s="87">
        <f t="shared" si="127"/>
        <v>1.51</v>
      </c>
      <c r="H362" s="765">
        <f t="shared" si="127"/>
        <v>2.4450000000000003</v>
      </c>
      <c r="I362" s="196">
        <f t="shared" si="127"/>
        <v>0</v>
      </c>
      <c r="J362" s="196">
        <f t="shared" si="127"/>
        <v>0</v>
      </c>
      <c r="K362" s="444">
        <f t="shared" si="127"/>
        <v>6.23</v>
      </c>
      <c r="L362" s="331">
        <f t="shared" si="127"/>
        <v>0.71523178807947019</v>
      </c>
      <c r="M362" s="251">
        <f t="shared" si="127"/>
        <v>0</v>
      </c>
      <c r="N362" s="436">
        <f t="shared" si="127"/>
        <v>9.3902317880794701</v>
      </c>
      <c r="O362" s="235">
        <f t="shared" si="127"/>
        <v>0</v>
      </c>
      <c r="P362" s="415">
        <f t="shared" si="127"/>
        <v>16.33546357615894</v>
      </c>
      <c r="Q362" s="235">
        <f t="shared" si="127"/>
        <v>0</v>
      </c>
      <c r="R362" s="235">
        <f t="shared" si="127"/>
        <v>0</v>
      </c>
      <c r="S362" s="235">
        <f t="shared" si="126"/>
        <v>0</v>
      </c>
      <c r="T362" s="444">
        <f t="shared" si="126"/>
        <v>6.9452317880794707</v>
      </c>
      <c r="U362" s="667">
        <f t="shared" si="126"/>
        <v>0</v>
      </c>
      <c r="V362" s="667">
        <f t="shared" si="126"/>
        <v>0</v>
      </c>
      <c r="W362" s="667">
        <f t="shared" si="126"/>
        <v>0</v>
      </c>
      <c r="X362" s="40">
        <f t="shared" si="126"/>
        <v>-2.8809</v>
      </c>
      <c r="Y362" s="253">
        <f t="shared" si="126"/>
        <v>0</v>
      </c>
      <c r="Z362" s="239">
        <f t="shared" si="126"/>
        <v>0.59399999999999997</v>
      </c>
      <c r="AA362" s="114">
        <f t="shared" si="126"/>
        <v>0</v>
      </c>
      <c r="AB362" s="127">
        <f t="shared" si="126"/>
        <v>0</v>
      </c>
      <c r="AC362" s="266" t="str">
        <f t="shared" si="126"/>
        <v xml:space="preserve">Kies-Refernzen gemittelt </v>
      </c>
      <c r="AD362" s="240">
        <f t="shared" si="126"/>
        <v>0</v>
      </c>
      <c r="AE362">
        <f t="shared" si="126"/>
        <v>0</v>
      </c>
      <c r="AF362">
        <f t="shared" si="126"/>
        <v>0</v>
      </c>
      <c r="AG362" s="141"/>
      <c r="AH362" s="141"/>
      <c r="AI362" s="141"/>
      <c r="AJ362" s="141"/>
    </row>
    <row r="363" spans="1:36" x14ac:dyDescent="0.25">
      <c r="A363" s="120"/>
      <c r="B363" s="1" t="str">
        <f>B296</f>
        <v>Erde</v>
      </c>
      <c r="C363" s="233" t="str">
        <f t="shared" si="127"/>
        <v>t</v>
      </c>
      <c r="D363" s="630"/>
      <c r="E363" s="231" t="str">
        <f t="shared" si="126"/>
        <v>m3</v>
      </c>
      <c r="F363" s="731">
        <f t="shared" si="126"/>
        <v>1.51</v>
      </c>
      <c r="G363" s="87">
        <f t="shared" si="126"/>
        <v>1.51</v>
      </c>
      <c r="H363" s="766">
        <f t="shared" si="126"/>
        <v>2.1741731601731602</v>
      </c>
      <c r="I363" s="196">
        <f t="shared" si="126"/>
        <v>0</v>
      </c>
      <c r="J363" s="196">
        <f t="shared" si="126"/>
        <v>0</v>
      </c>
      <c r="K363" s="444">
        <f t="shared" si="126"/>
        <v>6.23</v>
      </c>
      <c r="L363" s="331">
        <f t="shared" si="126"/>
        <v>0.71523178807947019</v>
      </c>
      <c r="M363" s="251">
        <f t="shared" si="126"/>
        <v>0</v>
      </c>
      <c r="N363" s="436">
        <f t="shared" si="126"/>
        <v>9.1194049482526296</v>
      </c>
      <c r="O363" s="235">
        <f t="shared" si="126"/>
        <v>0</v>
      </c>
      <c r="P363" s="415">
        <f t="shared" si="126"/>
        <v>16.064636736332101</v>
      </c>
      <c r="Q363" s="235">
        <f t="shared" si="126"/>
        <v>0</v>
      </c>
      <c r="R363" s="235">
        <f t="shared" si="126"/>
        <v>0</v>
      </c>
      <c r="S363" s="235">
        <f t="shared" si="126"/>
        <v>0</v>
      </c>
      <c r="T363" s="444">
        <f t="shared" si="126"/>
        <v>6.9452317880794707</v>
      </c>
      <c r="U363" s="667">
        <f t="shared" si="126"/>
        <v>0</v>
      </c>
      <c r="V363" s="667">
        <f t="shared" si="126"/>
        <v>0</v>
      </c>
      <c r="W363" s="667">
        <f t="shared" si="126"/>
        <v>0</v>
      </c>
      <c r="X363" s="40">
        <f t="shared" si="126"/>
        <v>-2.8809</v>
      </c>
      <c r="Y363" s="253">
        <f t="shared" si="126"/>
        <v>0</v>
      </c>
      <c r="Z363" s="239">
        <f t="shared" si="126"/>
        <v>0.59399999999999997</v>
      </c>
      <c r="AA363" s="114">
        <f t="shared" si="126"/>
        <v>0</v>
      </c>
      <c r="AB363" s="127">
        <f t="shared" si="126"/>
        <v>0</v>
      </c>
      <c r="AC363" s="266" t="str">
        <f t="shared" si="126"/>
        <v>Schotter, Kies, Sand gemittelt; Dichte Annahme geprüft mit: https://www.kiesdirekt.de/shop/menge-rechner.asp?groupid=24&amp;productid=1489</v>
      </c>
      <c r="AD363" s="240">
        <f t="shared" si="126"/>
        <v>0</v>
      </c>
      <c r="AE363">
        <f t="shared" si="126"/>
        <v>0</v>
      </c>
      <c r="AF363">
        <f t="shared" si="126"/>
        <v>0</v>
      </c>
    </row>
    <row r="364" spans="1:36" x14ac:dyDescent="0.25">
      <c r="A364" s="120"/>
      <c r="B364" s="1" t="str">
        <f>B297</f>
        <v>Sand (Korngröße 0,063 bis 2mm)</v>
      </c>
      <c r="C364" s="233" t="str">
        <f t="shared" si="127"/>
        <v>t</v>
      </c>
      <c r="D364" s="630"/>
      <c r="E364" s="231" t="str">
        <f t="shared" si="126"/>
        <v>m3</v>
      </c>
      <c r="F364" s="731">
        <f t="shared" si="126"/>
        <v>1.51</v>
      </c>
      <c r="G364" s="87">
        <f t="shared" si="126"/>
        <v>1.51</v>
      </c>
      <c r="H364" s="765">
        <f t="shared" si="126"/>
        <v>2.4696666666666665</v>
      </c>
      <c r="I364" s="196">
        <f t="shared" si="126"/>
        <v>0</v>
      </c>
      <c r="J364" s="196">
        <f t="shared" si="126"/>
        <v>0</v>
      </c>
      <c r="K364" s="444">
        <f t="shared" si="126"/>
        <v>6.23</v>
      </c>
      <c r="L364" s="331">
        <f t="shared" si="126"/>
        <v>0.71523178807947019</v>
      </c>
      <c r="M364" s="251">
        <f t="shared" si="126"/>
        <v>0</v>
      </c>
      <c r="N364" s="436">
        <f t="shared" si="126"/>
        <v>9.4148984547461367</v>
      </c>
      <c r="O364" s="235">
        <f t="shared" si="126"/>
        <v>0</v>
      </c>
      <c r="P364" s="415">
        <f t="shared" si="126"/>
        <v>16.360130242825608</v>
      </c>
      <c r="Q364" s="235">
        <f t="shared" si="126"/>
        <v>0</v>
      </c>
      <c r="R364" s="235">
        <f t="shared" si="126"/>
        <v>0</v>
      </c>
      <c r="S364" s="235">
        <f t="shared" si="126"/>
        <v>0</v>
      </c>
      <c r="T364" s="444">
        <f t="shared" si="126"/>
        <v>6.9452317880794707</v>
      </c>
      <c r="U364" s="667">
        <f t="shared" si="126"/>
        <v>0</v>
      </c>
      <c r="V364" s="667">
        <f t="shared" si="126"/>
        <v>0</v>
      </c>
      <c r="W364" s="667">
        <f t="shared" si="126"/>
        <v>0</v>
      </c>
      <c r="X364" s="40">
        <f t="shared" si="126"/>
        <v>-2.8809</v>
      </c>
      <c r="Y364" s="253">
        <f t="shared" si="126"/>
        <v>0</v>
      </c>
      <c r="Z364" s="239">
        <f t="shared" si="126"/>
        <v>0.59399999999999997</v>
      </c>
      <c r="AA364" s="114">
        <f t="shared" si="126"/>
        <v>0</v>
      </c>
      <c r="AB364" s="127">
        <f t="shared" si="126"/>
        <v>0</v>
      </c>
      <c r="AC364" s="266" t="str">
        <f t="shared" si="126"/>
        <v>Sand-Referenzen gemittelt, Dichte Annahme geprüft mit: https://www.kiesdirekt.de/shop/menge-rechner.asp?groupid=22&amp;productid=304</v>
      </c>
      <c r="AD364">
        <f t="shared" si="126"/>
        <v>0</v>
      </c>
      <c r="AE364">
        <f t="shared" si="126"/>
        <v>0</v>
      </c>
      <c r="AF364">
        <f t="shared" si="126"/>
        <v>0</v>
      </c>
    </row>
    <row r="365" spans="1:36" ht="15.75" thickBot="1" x14ac:dyDescent="0.3">
      <c r="A365" s="121"/>
      <c r="B365" s="348" t="s">
        <v>529</v>
      </c>
      <c r="C365" s="675"/>
      <c r="D365" s="350"/>
      <c r="E365" s="351" t="s">
        <v>467</v>
      </c>
      <c r="F365" s="352">
        <f>D365</f>
        <v>0</v>
      </c>
      <c r="G365" s="353">
        <f>F365</f>
        <v>0</v>
      </c>
      <c r="H365" s="354"/>
      <c r="I365" s="354"/>
      <c r="J365" s="354"/>
      <c r="K365" s="354"/>
      <c r="L365" s="354"/>
      <c r="M365" s="355"/>
      <c r="N365" s="354"/>
      <c r="O365" s="356"/>
      <c r="P365" s="356"/>
      <c r="Q365" s="356"/>
      <c r="R365" s="356"/>
      <c r="S365" s="356"/>
      <c r="T365" s="357"/>
      <c r="U365" s="356"/>
      <c r="V365" s="356"/>
      <c r="W365" s="356"/>
      <c r="X365" s="357"/>
      <c r="Y365" s="358"/>
      <c r="Z365" s="359"/>
      <c r="AA365" s="360"/>
      <c r="AB365" s="361"/>
      <c r="AC365" s="616"/>
      <c r="AD365" s="362"/>
      <c r="AE365" s="362"/>
      <c r="AF365" s="363"/>
      <c r="AG365" s="124"/>
    </row>
    <row r="366" spans="1:36" x14ac:dyDescent="0.25"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S366" s="250"/>
      <c r="T366" s="250"/>
      <c r="U366" s="250"/>
      <c r="V366" s="250"/>
      <c r="W366" s="250"/>
      <c r="X366" s="250"/>
    </row>
    <row r="367" spans="1:36" x14ac:dyDescent="0.25"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S367" s="250"/>
      <c r="T367" s="250"/>
      <c r="U367" s="250"/>
      <c r="V367" s="250"/>
      <c r="W367" s="250"/>
      <c r="X367" s="250"/>
    </row>
    <row r="368" spans="1:36" ht="15.75" thickBot="1" x14ac:dyDescent="0.3"/>
    <row r="369" spans="2:5" ht="15.75" thickBot="1" x14ac:dyDescent="0.3">
      <c r="B369" s="176" t="s">
        <v>231</v>
      </c>
      <c r="C369" s="783"/>
      <c r="E369"/>
    </row>
    <row r="370" spans="2:5" x14ac:dyDescent="0.25">
      <c r="B370" s="907" t="s">
        <v>535</v>
      </c>
      <c r="C370" s="905"/>
      <c r="E370" s="849" t="s">
        <v>721</v>
      </c>
    </row>
    <row r="371" spans="2:5" x14ac:dyDescent="0.25">
      <c r="B371" s="908" t="s">
        <v>537</v>
      </c>
      <c r="C371" s="897"/>
      <c r="E371" s="833" t="s">
        <v>722</v>
      </c>
    </row>
    <row r="372" spans="2:5" x14ac:dyDescent="0.25">
      <c r="B372" s="908" t="s">
        <v>536</v>
      </c>
      <c r="C372" s="898"/>
      <c r="E372"/>
    </row>
    <row r="373" spans="2:5" x14ac:dyDescent="0.25">
      <c r="B373" s="908" t="s">
        <v>538</v>
      </c>
      <c r="C373" s="899"/>
      <c r="E373"/>
    </row>
    <row r="374" spans="2:5" x14ac:dyDescent="0.25">
      <c r="B374" s="909" t="s">
        <v>753</v>
      </c>
      <c r="C374" s="900"/>
      <c r="E374"/>
    </row>
    <row r="375" spans="2:5" x14ac:dyDescent="0.25">
      <c r="B375" s="908" t="s">
        <v>752</v>
      </c>
      <c r="C375" s="901"/>
      <c r="E375"/>
    </row>
    <row r="376" spans="2:5" x14ac:dyDescent="0.25">
      <c r="B376" s="908" t="s">
        <v>749</v>
      </c>
      <c r="C376" s="902"/>
      <c r="E376"/>
    </row>
    <row r="377" spans="2:5" x14ac:dyDescent="0.25">
      <c r="B377" s="910" t="s">
        <v>750</v>
      </c>
      <c r="C377" s="903"/>
      <c r="E377"/>
    </row>
    <row r="378" spans="2:5" ht="15.75" thickBot="1" x14ac:dyDescent="0.3">
      <c r="B378" s="911" t="s">
        <v>533</v>
      </c>
      <c r="C378" s="904"/>
      <c r="E378"/>
    </row>
    <row r="379" spans="2:5" x14ac:dyDescent="0.25">
      <c r="C379" s="1"/>
      <c r="E379"/>
    </row>
    <row r="380" spans="2:5" ht="15.75" thickBot="1" x14ac:dyDescent="0.3">
      <c r="C380" s="13"/>
      <c r="E380"/>
    </row>
    <row r="381" spans="2:5" ht="15.75" thickBot="1" x14ac:dyDescent="0.3">
      <c r="B381" s="176" t="s">
        <v>231</v>
      </c>
      <c r="C381" s="142"/>
      <c r="E381"/>
    </row>
    <row r="382" spans="2:5" x14ac:dyDescent="0.25">
      <c r="B382" s="889" t="s">
        <v>535</v>
      </c>
      <c r="E382"/>
    </row>
    <row r="383" spans="2:5" x14ac:dyDescent="0.25">
      <c r="B383" s="890" t="s">
        <v>537</v>
      </c>
    </row>
    <row r="384" spans="2:5" x14ac:dyDescent="0.25">
      <c r="B384" s="895" t="s">
        <v>536</v>
      </c>
    </row>
    <row r="385" spans="2:2" x14ac:dyDescent="0.25">
      <c r="B385" s="891" t="s">
        <v>538</v>
      </c>
    </row>
    <row r="386" spans="2:2" x14ac:dyDescent="0.25">
      <c r="B386" s="892" t="s">
        <v>751</v>
      </c>
    </row>
    <row r="387" spans="2:2" x14ac:dyDescent="0.25">
      <c r="B387" s="896" t="s">
        <v>748</v>
      </c>
    </row>
    <row r="388" spans="2:2" x14ac:dyDescent="0.25">
      <c r="B388" s="893" t="s">
        <v>749</v>
      </c>
    </row>
    <row r="389" spans="2:2" x14ac:dyDescent="0.25">
      <c r="B389" s="894" t="s">
        <v>750</v>
      </c>
    </row>
    <row r="390" spans="2:2" ht="15.75" thickBot="1" x14ac:dyDescent="0.3">
      <c r="B390" s="906" t="s">
        <v>533</v>
      </c>
    </row>
  </sheetData>
  <sheetProtection algorithmName="SHA-512" hashValue="3mcSKp2m3Y4+PZp2lwKDlv/OnfELScjgMKsyZ/XjCQqnPOn9Ofja622AiDPzDwPdhL/7tBOyHBUQnjxfL5kUjQ==" saltValue="1KnftnOiXcYCFjSfCvhXHg==" spinCount="100000" sheet="1" objects="1" scenarios="1"/>
  <mergeCells count="15">
    <mergeCell ref="AE205:AE220"/>
    <mergeCell ref="AE224:AE227"/>
    <mergeCell ref="T256:W256"/>
    <mergeCell ref="M6:S6"/>
    <mergeCell ref="T6:W6"/>
    <mergeCell ref="K2:L2"/>
    <mergeCell ref="M2:P2"/>
    <mergeCell ref="H113:J113"/>
    <mergeCell ref="H111:J111"/>
    <mergeCell ref="H196:L196"/>
    <mergeCell ref="H199:L199"/>
    <mergeCell ref="H200:L200"/>
    <mergeCell ref="A6:B6"/>
    <mergeCell ref="H6:L6"/>
    <mergeCell ref="H114:J114"/>
  </mergeCells>
  <phoneticPr fontId="60" type="noConversion"/>
  <conditionalFormatting sqref="AB1:AB1048576">
    <cfRule type="cellIs" dxfId="0" priority="1" operator="lessThan">
      <formula>2025</formula>
    </cfRule>
  </conditionalFormatting>
  <hyperlinks>
    <hyperlink ref="AE186" r:id="rId1" xr:uid="{00000000-0004-0000-0700-000005000000}"/>
    <hyperlink ref="AE254" r:id="rId2" xr:uid="{00000000-0004-0000-0700-000006000000}"/>
    <hyperlink ref="AE130" r:id="rId3" xr:uid="{00000000-0004-0000-0700-00000A000000}"/>
    <hyperlink ref="AD285" r:id="rId4" xr:uid="{00000000-0004-0000-0700-000010000000}"/>
    <hyperlink ref="AF131" r:id="rId5" xr:uid="{00000000-0004-0000-0700-000012000000}"/>
    <hyperlink ref="AF282" r:id="rId6" xr:uid="{00000000-0004-0000-0700-00001C000000}"/>
    <hyperlink ref="AF308" r:id="rId7" xr:uid="{00000000-0004-0000-0700-00001E000000}"/>
    <hyperlink ref="AF122" r:id="rId8" xr:uid="{00000000-0004-0000-0700-000027000000}"/>
    <hyperlink ref="AF123" r:id="rId9" xr:uid="{00000000-0004-0000-0700-000028000000}"/>
    <hyperlink ref="AE170" r:id="rId10" xr:uid="{00000000-0004-0000-0700-00002A000000}"/>
    <hyperlink ref="AF108" r:id="rId11" xr:uid="{00000000-0004-0000-0700-00002B000000}"/>
    <hyperlink ref="AF109" r:id="rId12" xr:uid="{00000000-0004-0000-0700-00002C000000}"/>
    <hyperlink ref="AF110" r:id="rId13" xr:uid="{00000000-0004-0000-0700-00002D000000}"/>
    <hyperlink ref="AF188" r:id="rId14" xr:uid="{00000000-0004-0000-0700-000031000000}"/>
    <hyperlink ref="AE32" r:id="rId15" xr:uid="{00000000-0004-0000-0700-000033000000}"/>
    <hyperlink ref="AF339" r:id="rId16" xr:uid="{00000000-0004-0000-0700-000039000000}"/>
    <hyperlink ref="AF344" r:id="rId17" xr:uid="{00000000-0004-0000-0700-00003A000000}"/>
    <hyperlink ref="AF327" r:id="rId18" xr:uid="{00000000-0004-0000-0700-00003B000000}"/>
    <hyperlink ref="AF333" r:id="rId19" xr:uid="{00000000-0004-0000-0700-00003C000000}"/>
    <hyperlink ref="AF162" r:id="rId20" xr:uid="{00000000-0004-0000-0700-00003E000000}"/>
    <hyperlink ref="AD339" r:id="rId21" xr:uid="{00000000-0004-0000-0700-00003F000000}"/>
    <hyperlink ref="AF71" r:id="rId22" xr:uid="{00000000-0004-0000-0700-000040000000}"/>
    <hyperlink ref="AF72" r:id="rId23" xr:uid="{00000000-0004-0000-0700-000041000000}"/>
    <hyperlink ref="AF73" r:id="rId24" xr:uid="{00000000-0004-0000-0700-000042000000}"/>
    <hyperlink ref="AF90" r:id="rId25" xr:uid="{00000000-0004-0000-0700-000047000000}"/>
    <hyperlink ref="AF84" r:id="rId26" xr:uid="{00000000-0004-0000-0700-00004A000000}"/>
    <hyperlink ref="AF83" r:id="rId27" xr:uid="{00000000-0004-0000-0700-00004B000000}"/>
    <hyperlink ref="AF163" r:id="rId28" xr:uid="{00000000-0004-0000-0700-00004E000000}"/>
    <hyperlink ref="AF165" r:id="rId29" xr:uid="{00000000-0004-0000-0700-00004F000000}"/>
    <hyperlink ref="AD294" r:id="rId30" xr:uid="{00000000-0004-0000-0700-000056000000}"/>
    <hyperlink ref="AF35" r:id="rId31" xr:uid="{00000000-0004-0000-0700-000058000000}"/>
    <hyperlink ref="AF358" r:id="rId32" xr:uid="{BEF58E8B-DEEA-4295-9E94-3DD019716D7C}"/>
    <hyperlink ref="AF78" r:id="rId33" xr:uid="{62496C9E-4B54-4538-B63D-6B6162A7F724}"/>
    <hyperlink ref="AF79" r:id="rId34" xr:uid="{E5F03489-97FA-414E-A23F-A59CCF3B75E7}"/>
    <hyperlink ref="AF81" r:id="rId35" xr:uid="{545DFF4C-7335-44A8-97C0-CFA075BDB13F}"/>
    <hyperlink ref="AF92" r:id="rId36" xr:uid="{21C4DD66-D27B-47DB-805F-8882083DE263}"/>
    <hyperlink ref="AF95" r:id="rId37" xr:uid="{DA8A4C73-A894-48AB-86B8-A9B34440BF16}"/>
    <hyperlink ref="AF99" r:id="rId38" xr:uid="{67B47559-040F-4E33-99C8-849381B9B7E3}"/>
    <hyperlink ref="AF100" r:id="rId39" xr:uid="{B65E8CA2-7255-4C3B-A5FF-CD33863125A1}"/>
    <hyperlink ref="AD257" r:id="rId40" xr:uid="{229FCF9B-0CBF-45EB-9034-B97EA7724DE9}"/>
    <hyperlink ref="AF133" r:id="rId41" xr:uid="{167E18CC-0C27-455C-AD2C-97771D7B209E}"/>
    <hyperlink ref="AF87" r:id="rId42" xr:uid="{25E532E6-C78A-479E-88D9-AB7F64D80ABE}"/>
    <hyperlink ref="AF75" r:id="rId43" xr:uid="{750E5277-45E2-4829-90CD-FFAA9F8E0207}"/>
    <hyperlink ref="AF76" r:id="rId44" xr:uid="{63C5AF5A-8593-4B1E-B6B3-372FE5E3E246}"/>
    <hyperlink ref="AF187" r:id="rId45" xr:uid="{CB15B232-0164-4033-A588-DE4899AD072A}"/>
    <hyperlink ref="AF237" r:id="rId46" xr:uid="{182CAF1B-878F-44FC-93BC-6689D17804FD}"/>
    <hyperlink ref="AF334" r:id="rId47" xr:uid="{27CF9008-7D70-4347-BCF5-BEA1CCA9485F}"/>
    <hyperlink ref="AE147" r:id="rId48" xr:uid="{AD528C48-FD50-4C9B-BBFA-0B717491BFD5}"/>
    <hyperlink ref="AE149" r:id="rId49" xr:uid="{3B0DBB93-236B-4D13-BBF7-D143DBD3A3C6}"/>
    <hyperlink ref="AF105" r:id="rId50" xr:uid="{2A4108C5-7177-4AD0-B9A6-5158EA474223}"/>
    <hyperlink ref="AD173" r:id="rId51" xr:uid="{121CA5CC-BDA4-4D30-A5CA-62B4E8322E50}"/>
    <hyperlink ref="AF256" r:id="rId52" xr:uid="{507AF0CC-8498-42CD-8784-591BA0394BA6}"/>
    <hyperlink ref="AF260" r:id="rId53" xr:uid="{D5F2A676-A690-4DC6-A07B-1BF410FEE6C7}"/>
    <hyperlink ref="AE224" r:id="rId54" display="https://www.rebloc.at/loesungen_x000a_" xr:uid="{BC497E41-11BF-47E6-8968-FD7B3FCB3073}"/>
    <hyperlink ref="AF124" r:id="rId55" xr:uid="{46D03E0F-5EEF-42ED-B819-3F719172B76D}"/>
  </hyperlinks>
  <pageMargins left="0.7" right="0.7" top="0.78740157499999996" bottom="0.78740157499999996" header="0.3" footer="0.3"/>
  <pageSetup paperSize="8" scale="14" orientation="landscape" r:id="rId56"/>
  <ignoredErrors>
    <ignoredError sqref="Z94 T80 X122 O258:P258" formula="1"/>
    <ignoredError sqref="Y101" formulaRange="1"/>
  </ignoredErrors>
  <drawing r:id="rId57"/>
  <legacy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46BB-B5E2-4D99-9C1E-6E69C958AAF7}">
  <sheetPr codeName="Tabelle16"/>
  <dimension ref="A1:U100"/>
  <sheetViews>
    <sheetView zoomScale="90" zoomScaleNormal="90" workbookViewId="0">
      <pane ySplit="16" topLeftCell="A17" activePane="bottomLeft" state="frozen"/>
      <selection pane="bottomLeft" activeCell="A6" sqref="A6"/>
    </sheetView>
  </sheetViews>
  <sheetFormatPr baseColWidth="10" defaultColWidth="11.42578125" defaultRowHeight="15" outlineLevelRow="1" x14ac:dyDescent="0.25"/>
  <cols>
    <col min="1" max="1" width="62.5703125" customWidth="1"/>
    <col min="2" max="2" width="11.7109375" bestFit="1" customWidth="1"/>
    <col min="3" max="3" width="6.5703125" customWidth="1"/>
    <col min="4" max="4" width="5.85546875" customWidth="1"/>
    <col min="5" max="5" width="5.7109375" bestFit="1" customWidth="1"/>
    <col min="6" max="6" width="4.85546875" customWidth="1"/>
    <col min="7" max="7" width="27.7109375" bestFit="1" customWidth="1"/>
    <col min="8" max="8" width="51.28515625" bestFit="1" customWidth="1"/>
    <col min="9" max="9" width="18.28515625" bestFit="1" customWidth="1"/>
    <col min="10" max="10" width="17.140625" bestFit="1" customWidth="1"/>
    <col min="11" max="11" width="19.140625" bestFit="1" customWidth="1"/>
    <col min="12" max="12" width="3.85546875" customWidth="1"/>
    <col min="14" max="14" width="3" bestFit="1" customWidth="1"/>
    <col min="15" max="15" width="11.85546875" bestFit="1" customWidth="1"/>
    <col min="16" max="16" width="3" bestFit="1" customWidth="1"/>
    <col min="18" max="18" width="14.28515625" bestFit="1" customWidth="1"/>
  </cols>
  <sheetData>
    <row r="1" spans="1:21" ht="15.75" x14ac:dyDescent="0.25">
      <c r="A1" s="792" t="s">
        <v>760</v>
      </c>
    </row>
    <row r="2" spans="1:21" s="1" customFormat="1" x14ac:dyDescent="0.25">
      <c r="A2" s="1" t="s">
        <v>282</v>
      </c>
      <c r="B2" s="1" t="s">
        <v>283</v>
      </c>
      <c r="C2" s="1" t="s">
        <v>284</v>
      </c>
      <c r="D2" s="1" t="s">
        <v>285</v>
      </c>
      <c r="E2" s="1" t="s">
        <v>286</v>
      </c>
      <c r="F2" s="1" t="s">
        <v>287</v>
      </c>
      <c r="G2" s="1" t="s">
        <v>288</v>
      </c>
      <c r="H2" s="1" t="s">
        <v>289</v>
      </c>
      <c r="I2" s="1" t="s">
        <v>290</v>
      </c>
      <c r="J2" s="1" t="s">
        <v>291</v>
      </c>
      <c r="K2" s="1" t="s">
        <v>292</v>
      </c>
      <c r="L2"/>
      <c r="M2" s="1" t="s">
        <v>232</v>
      </c>
      <c r="O2" s="1" t="s">
        <v>41</v>
      </c>
      <c r="R2" s="1" t="s">
        <v>293</v>
      </c>
      <c r="S2" s="32" t="s">
        <v>286</v>
      </c>
      <c r="T2" s="32" t="s">
        <v>294</v>
      </c>
      <c r="U2" s="1" t="s">
        <v>232</v>
      </c>
    </row>
    <row r="3" spans="1:21" x14ac:dyDescent="0.25">
      <c r="A3" t="s">
        <v>2</v>
      </c>
      <c r="B3" s="33">
        <v>1</v>
      </c>
      <c r="C3" s="33">
        <v>0.99</v>
      </c>
      <c r="D3" s="33">
        <v>0</v>
      </c>
      <c r="E3" s="33">
        <f>1-SUM(C3:D3)</f>
        <v>1.0000000000000009E-2</v>
      </c>
      <c r="F3" s="33">
        <f>B3*C3*(1-40%)*K3</f>
        <v>0.59399999999999997</v>
      </c>
      <c r="G3" s="34" t="s">
        <v>295</v>
      </c>
      <c r="H3" s="33" t="s">
        <v>296</v>
      </c>
      <c r="I3" s="33" t="s">
        <v>297</v>
      </c>
      <c r="J3" s="35" t="s">
        <v>298</v>
      </c>
      <c r="K3" s="36">
        <v>1</v>
      </c>
      <c r="M3" s="148">
        <f>C3*B26+E3*B27+B29*B20/1000/1000</f>
        <v>2.1276064043049335E-3</v>
      </c>
      <c r="N3" t="s">
        <v>106</v>
      </c>
      <c r="O3" s="148">
        <f>-B28</f>
        <v>-4.8500000000000001E-3</v>
      </c>
      <c r="P3" t="s">
        <v>106</v>
      </c>
      <c r="S3">
        <f>B3*B27</f>
        <v>0</v>
      </c>
      <c r="T3">
        <f>B29*B20/1000/1000</f>
        <v>2.1276064043049335E-3</v>
      </c>
      <c r="U3">
        <f>S3+T3</f>
        <v>2.1276064043049335E-3</v>
      </c>
    </row>
    <row r="4" spans="1:21" x14ac:dyDescent="0.25">
      <c r="A4" t="s">
        <v>299</v>
      </c>
      <c r="B4" s="33">
        <v>1</v>
      </c>
      <c r="C4" s="33">
        <v>0.95</v>
      </c>
      <c r="D4" s="33">
        <v>0</v>
      </c>
      <c r="E4" s="33">
        <f>1-SUM(C4:D4)</f>
        <v>5.0000000000000044E-2</v>
      </c>
      <c r="F4" s="33">
        <f>B4*C4*K4</f>
        <v>0.85786527000180612</v>
      </c>
      <c r="G4" s="33" t="s">
        <v>300</v>
      </c>
      <c r="H4" s="33" t="s">
        <v>301</v>
      </c>
      <c r="I4" s="33" t="s">
        <v>302</v>
      </c>
      <c r="J4" s="35" t="s">
        <v>303</v>
      </c>
      <c r="K4" s="36">
        <f>1/1.1074</f>
        <v>0.9030160736861117</v>
      </c>
      <c r="L4" s="33"/>
      <c r="M4" s="148">
        <f>C4*B32+E4*B33+B36*B20/1000/1000</f>
        <v>2.1276064043049335E-3</v>
      </c>
      <c r="N4" t="s">
        <v>106</v>
      </c>
      <c r="O4" s="148">
        <f>-B37</f>
        <v>-0.55000000000000004</v>
      </c>
      <c r="P4" t="s">
        <v>106</v>
      </c>
    </row>
    <row r="5" spans="1:21" x14ac:dyDescent="0.25">
      <c r="A5" t="s">
        <v>10</v>
      </c>
      <c r="B5" s="33">
        <v>1</v>
      </c>
      <c r="C5" s="33">
        <v>0.99</v>
      </c>
      <c r="D5" s="33">
        <v>0</v>
      </c>
      <c r="E5" s="33">
        <f t="shared" ref="E5:E13" si="0">1-SUM(C5:D5)</f>
        <v>1.0000000000000009E-2</v>
      </c>
      <c r="F5" s="33">
        <f>B5*C5*K5</f>
        <v>0.89398591294925056</v>
      </c>
      <c r="G5" s="33" t="s">
        <v>300</v>
      </c>
      <c r="H5" s="33" t="s">
        <v>304</v>
      </c>
      <c r="I5" s="33" t="s">
        <v>302</v>
      </c>
      <c r="J5" s="35" t="s">
        <v>303</v>
      </c>
      <c r="K5" s="36">
        <f>K4</f>
        <v>0.9030160736861117</v>
      </c>
      <c r="M5" s="148">
        <f>C5*B42+E5*B43+B36*B20/1000/1000</f>
        <v>2.1276064043049335E-3</v>
      </c>
      <c r="N5" t="s">
        <v>106</v>
      </c>
      <c r="O5" s="148">
        <f>-B44</f>
        <v>-0.55000000000000004</v>
      </c>
      <c r="P5" t="s">
        <v>106</v>
      </c>
    </row>
    <row r="6" spans="1:21" x14ac:dyDescent="0.25">
      <c r="A6" t="s">
        <v>305</v>
      </c>
      <c r="B6" s="33">
        <v>1</v>
      </c>
      <c r="C6" s="33">
        <v>0</v>
      </c>
      <c r="D6" s="33">
        <v>0.98</v>
      </c>
      <c r="E6" s="33">
        <f>1-SUM(C6:D6)</f>
        <v>2.0000000000000018E-2</v>
      </c>
      <c r="F6" s="33"/>
      <c r="G6" s="33" t="s">
        <v>306</v>
      </c>
      <c r="H6" s="33" t="s">
        <v>307</v>
      </c>
      <c r="I6" s="33" t="s">
        <v>308</v>
      </c>
      <c r="J6" s="35" t="s">
        <v>309</v>
      </c>
      <c r="K6" s="36">
        <v>10.14</v>
      </c>
      <c r="L6" s="33" t="s">
        <v>310</v>
      </c>
      <c r="M6" s="148">
        <f>B49+D6*B50</f>
        <v>3.0602836347730991</v>
      </c>
      <c r="N6" t="s">
        <v>106</v>
      </c>
      <c r="O6" s="148">
        <f>-K6*(0.744*B51/3.6+0.055*B52/3.6)</f>
        <v>-5.0367633333333335E-2</v>
      </c>
      <c r="P6" t="s">
        <v>106</v>
      </c>
    </row>
    <row r="7" spans="1:21" x14ac:dyDescent="0.25">
      <c r="A7" t="s">
        <v>12</v>
      </c>
      <c r="B7" s="33">
        <v>1</v>
      </c>
      <c r="C7" s="33">
        <v>0</v>
      </c>
      <c r="D7" s="33">
        <v>0.95</v>
      </c>
      <c r="E7" s="33">
        <f t="shared" si="0"/>
        <v>5.0000000000000044E-2</v>
      </c>
      <c r="F7" s="33"/>
      <c r="G7" s="33" t="s">
        <v>306</v>
      </c>
      <c r="H7" s="33" t="s">
        <v>304</v>
      </c>
      <c r="I7" s="33" t="s">
        <v>308</v>
      </c>
      <c r="J7" s="35" t="s">
        <v>309</v>
      </c>
      <c r="K7" s="36">
        <v>13.99</v>
      </c>
      <c r="L7" s="33" t="s">
        <v>310</v>
      </c>
      <c r="M7" s="148">
        <f>D7*B55+E7*B56</f>
        <v>1.6377826666666664</v>
      </c>
      <c r="N7" t="s">
        <v>106</v>
      </c>
      <c r="O7" s="148">
        <f>-K7*(B57*K55/3.6+B58*K56/3.6)</f>
        <v>-5.5120976167654358E-2</v>
      </c>
      <c r="P7" t="s">
        <v>106</v>
      </c>
    </row>
    <row r="8" spans="1:21" x14ac:dyDescent="0.25">
      <c r="A8" t="s">
        <v>311</v>
      </c>
      <c r="B8" s="33">
        <v>1</v>
      </c>
      <c r="C8" s="33">
        <v>0</v>
      </c>
      <c r="D8" s="33">
        <v>0.95</v>
      </c>
      <c r="E8" s="33">
        <f t="shared" si="0"/>
        <v>5.0000000000000044E-2</v>
      </c>
      <c r="F8" s="33"/>
      <c r="G8" s="33" t="s">
        <v>306</v>
      </c>
      <c r="H8" s="33" t="s">
        <v>304</v>
      </c>
      <c r="I8" s="33" t="s">
        <v>308</v>
      </c>
      <c r="J8" s="35" t="s">
        <v>309</v>
      </c>
      <c r="K8" s="36">
        <v>27.19</v>
      </c>
      <c r="L8" s="33" t="s">
        <v>310</v>
      </c>
      <c r="M8" s="148">
        <f>D8*B61+E8*B62</f>
        <v>2.9651550070921986</v>
      </c>
      <c r="N8" t="s">
        <v>106</v>
      </c>
      <c r="O8" s="148">
        <f>-K8*(B63*K61/3.6+B64*K62/3.6)</f>
        <v>-0.10712933109353266</v>
      </c>
      <c r="P8" t="s">
        <v>106</v>
      </c>
    </row>
    <row r="9" spans="1:21" x14ac:dyDescent="0.25">
      <c r="A9" t="s">
        <v>312</v>
      </c>
      <c r="B9" s="33">
        <v>1</v>
      </c>
      <c r="C9" s="33">
        <v>0</v>
      </c>
      <c r="D9" s="33">
        <v>0.95</v>
      </c>
      <c r="E9" s="33">
        <f t="shared" si="0"/>
        <v>5.0000000000000044E-2</v>
      </c>
      <c r="F9" s="33"/>
      <c r="G9" s="33" t="s">
        <v>306</v>
      </c>
      <c r="H9" s="33" t="s">
        <v>304</v>
      </c>
      <c r="I9" s="33" t="s">
        <v>308</v>
      </c>
      <c r="J9" s="35" t="s">
        <v>309</v>
      </c>
      <c r="K9" s="36">
        <v>30.06</v>
      </c>
      <c r="L9" s="33" t="s">
        <v>310</v>
      </c>
      <c r="M9" s="148">
        <f>D9*B84+E9*B85</f>
        <v>2.9651550070921986</v>
      </c>
      <c r="N9" t="s">
        <v>106</v>
      </c>
      <c r="O9" s="148">
        <f>-D9*K9*(B86*K85/3.6+B87*K86/3.6)</f>
        <v>-0.11251534784987172</v>
      </c>
      <c r="P9" t="s">
        <v>106</v>
      </c>
    </row>
    <row r="10" spans="1:21" x14ac:dyDescent="0.25">
      <c r="A10" t="s">
        <v>16</v>
      </c>
      <c r="B10" s="33">
        <v>1</v>
      </c>
      <c r="C10" s="33">
        <v>0.95</v>
      </c>
      <c r="D10" s="33">
        <v>0</v>
      </c>
      <c r="E10" s="33">
        <f t="shared" ref="E10" si="1">1-SUM(C10:D10)</f>
        <v>5.0000000000000044E-2</v>
      </c>
      <c r="F10" s="33"/>
      <c r="G10" s="33" t="s">
        <v>295</v>
      </c>
      <c r="H10" s="33" t="s">
        <v>304</v>
      </c>
      <c r="I10" s="33" t="s">
        <v>297</v>
      </c>
      <c r="J10" s="35" t="s">
        <v>313</v>
      </c>
      <c r="K10" s="36">
        <v>1</v>
      </c>
      <c r="O10" s="148">
        <f>-I92*B92</f>
        <v>-1.4550000000000003E-3</v>
      </c>
    </row>
    <row r="11" spans="1:21" x14ac:dyDescent="0.25">
      <c r="A11" t="s">
        <v>237</v>
      </c>
      <c r="B11" s="33">
        <v>1</v>
      </c>
      <c r="C11" s="33">
        <v>0</v>
      </c>
      <c r="D11" s="33">
        <v>0</v>
      </c>
      <c r="E11" s="33">
        <v>1</v>
      </c>
      <c r="F11" s="33"/>
      <c r="G11" s="33" t="s">
        <v>314</v>
      </c>
      <c r="H11" s="33" t="s">
        <v>297</v>
      </c>
      <c r="I11" s="33" t="s">
        <v>297</v>
      </c>
      <c r="J11" s="35" t="s">
        <v>297</v>
      </c>
      <c r="K11" s="36"/>
      <c r="M11" s="148">
        <f>B79</f>
        <v>0.61105999999999994</v>
      </c>
      <c r="N11" t="s">
        <v>106</v>
      </c>
      <c r="O11">
        <v>0</v>
      </c>
      <c r="P11" t="s">
        <v>106</v>
      </c>
    </row>
    <row r="12" spans="1:21" x14ac:dyDescent="0.25">
      <c r="A12" t="s">
        <v>315</v>
      </c>
      <c r="B12" s="33">
        <v>1</v>
      </c>
      <c r="C12" s="33">
        <v>0.8</v>
      </c>
      <c r="D12" s="33">
        <v>0.19</v>
      </c>
      <c r="E12" s="33">
        <f t="shared" si="0"/>
        <v>1.0000000000000009E-2</v>
      </c>
      <c r="F12" s="33">
        <f>B12*C12</f>
        <v>0.8</v>
      </c>
      <c r="G12" s="33" t="s">
        <v>316</v>
      </c>
      <c r="H12" s="33" t="s">
        <v>317</v>
      </c>
      <c r="I12" s="33" t="s">
        <v>297</v>
      </c>
      <c r="J12" s="35" t="s">
        <v>318</v>
      </c>
      <c r="K12" s="36">
        <v>42.47</v>
      </c>
      <c r="L12" s="33" t="s">
        <v>310</v>
      </c>
      <c r="M12" s="148">
        <f>C12*B68+D12*B67</f>
        <v>1.2595478014184398</v>
      </c>
      <c r="N12" t="s">
        <v>106</v>
      </c>
      <c r="O12" s="148">
        <f>-(C12*B69/1.0585+D12*K12*(B70*K69/3.6+B71*K70/3.6))</f>
        <v>-1.4829033203776061</v>
      </c>
      <c r="P12" t="s">
        <v>106</v>
      </c>
    </row>
    <row r="13" spans="1:21" x14ac:dyDescent="0.25">
      <c r="A13" t="s">
        <v>233</v>
      </c>
      <c r="B13" s="33">
        <v>1</v>
      </c>
      <c r="C13" s="33">
        <v>0.99</v>
      </c>
      <c r="D13" s="33">
        <v>0</v>
      </c>
      <c r="E13" s="33">
        <f t="shared" si="0"/>
        <v>1.0000000000000009E-2</v>
      </c>
      <c r="F13" s="33">
        <f>B13*C13*K13</f>
        <v>0.9609784507862551</v>
      </c>
      <c r="G13" s="33" t="s">
        <v>300</v>
      </c>
      <c r="H13" s="33" t="s">
        <v>304</v>
      </c>
      <c r="I13" s="33" t="s">
        <v>302</v>
      </c>
      <c r="J13" s="35" t="s">
        <v>319</v>
      </c>
      <c r="K13" s="36">
        <f>1/1.0302</f>
        <v>0.97068530382450013</v>
      </c>
      <c r="L13" s="33"/>
      <c r="M13" s="148">
        <f>C13*0+E13*B74</f>
        <v>2.1276064043049354E-5</v>
      </c>
      <c r="N13" t="s">
        <v>106</v>
      </c>
      <c r="O13" s="149">
        <f>-B75</f>
        <v>-0.52</v>
      </c>
      <c r="P13" t="s">
        <v>106</v>
      </c>
    </row>
    <row r="14" spans="1:21" x14ac:dyDescent="0.25">
      <c r="A14" t="s">
        <v>298</v>
      </c>
      <c r="B14" s="33">
        <v>1</v>
      </c>
      <c r="C14" s="33">
        <v>0.99</v>
      </c>
      <c r="D14" s="33">
        <v>0</v>
      </c>
      <c r="E14" s="33">
        <f>1-SUM(C14:D14)</f>
        <v>1.0000000000000009E-2</v>
      </c>
      <c r="F14" s="33">
        <f>B14*C14*(1-40%)*K14</f>
        <v>0.59399999999999997</v>
      </c>
      <c r="G14" s="33" t="s">
        <v>295</v>
      </c>
      <c r="H14" s="33" t="s">
        <v>304</v>
      </c>
      <c r="I14" s="33" t="s">
        <v>297</v>
      </c>
      <c r="J14" s="35" t="s">
        <v>298</v>
      </c>
      <c r="K14" s="36">
        <v>1</v>
      </c>
      <c r="M14" s="148">
        <f>M3</f>
        <v>2.1276064043049335E-3</v>
      </c>
      <c r="N14" t="s">
        <v>106</v>
      </c>
      <c r="O14" s="148">
        <f>O3</f>
        <v>-4.8500000000000001E-3</v>
      </c>
      <c r="P14" t="s">
        <v>106</v>
      </c>
    </row>
    <row r="15" spans="1:21" x14ac:dyDescent="0.25">
      <c r="A15" t="s">
        <v>320</v>
      </c>
      <c r="B15" s="33">
        <v>1</v>
      </c>
      <c r="C15" s="33">
        <v>0.9</v>
      </c>
      <c r="D15" s="33">
        <v>0</v>
      </c>
      <c r="E15" s="33">
        <v>0.1</v>
      </c>
      <c r="F15" s="33">
        <v>0.9</v>
      </c>
      <c r="G15" s="33"/>
      <c r="H15" s="33" t="s">
        <v>297</v>
      </c>
      <c r="I15" s="33" t="s">
        <v>297</v>
      </c>
      <c r="J15" s="35" t="s">
        <v>297</v>
      </c>
      <c r="K15" s="96">
        <v>1</v>
      </c>
      <c r="M15" s="148">
        <f>C15*B98+E15*B99+B36*B20/1000/1000</f>
        <v>0.43085960640430493</v>
      </c>
      <c r="N15" t="s">
        <v>106</v>
      </c>
      <c r="O15" s="148">
        <f>-B98</f>
        <v>-0.47499999999999998</v>
      </c>
      <c r="P15" t="s">
        <v>106</v>
      </c>
    </row>
    <row r="16" spans="1:21" x14ac:dyDescent="0.25">
      <c r="A16" t="s">
        <v>321</v>
      </c>
      <c r="B16" s="144">
        <v>1</v>
      </c>
      <c r="C16" s="33">
        <v>0</v>
      </c>
      <c r="D16" s="33">
        <v>0</v>
      </c>
      <c r="E16" s="33">
        <f>1-SUM(C16:D16)</f>
        <v>1</v>
      </c>
      <c r="G16" s="33" t="s">
        <v>314</v>
      </c>
      <c r="H16" s="33" t="s">
        <v>297</v>
      </c>
      <c r="I16" s="33" t="s">
        <v>297</v>
      </c>
      <c r="J16" s="35" t="s">
        <v>297</v>
      </c>
      <c r="M16" s="148">
        <f>B95</f>
        <v>1.2319999999999999E-2</v>
      </c>
      <c r="N16" t="s">
        <v>106</v>
      </c>
      <c r="O16">
        <v>0</v>
      </c>
      <c r="P16" t="s">
        <v>106</v>
      </c>
    </row>
    <row r="17" spans="1:13" x14ac:dyDescent="0.25">
      <c r="I17" t="s">
        <v>382</v>
      </c>
    </row>
    <row r="18" spans="1:13" ht="19.5" customHeight="1" x14ac:dyDescent="0.35">
      <c r="B18" s="33"/>
      <c r="C18" s="33"/>
      <c r="D18" s="33"/>
      <c r="E18" s="33"/>
      <c r="F18" s="33"/>
      <c r="G18" s="33"/>
      <c r="H18" s="86" t="s">
        <v>362</v>
      </c>
      <c r="I18" s="150" t="s">
        <v>383</v>
      </c>
      <c r="J18" s="35"/>
      <c r="K18" s="36"/>
    </row>
    <row r="19" spans="1:13" x14ac:dyDescent="0.25">
      <c r="A19" s="1" t="s">
        <v>322</v>
      </c>
      <c r="I19" s="146" t="s">
        <v>384</v>
      </c>
    </row>
    <row r="20" spans="1:13" x14ac:dyDescent="0.25">
      <c r="A20" s="37" t="s">
        <v>356</v>
      </c>
      <c r="B20" s="38">
        <v>85.104256172197353</v>
      </c>
      <c r="C20" s="37" t="s">
        <v>357</v>
      </c>
      <c r="D20" s="37"/>
    </row>
    <row r="21" spans="1:13" x14ac:dyDescent="0.25">
      <c r="A21" s="37" t="s">
        <v>358</v>
      </c>
      <c r="B21" s="38">
        <v>5</v>
      </c>
      <c r="C21" s="37" t="s">
        <v>357</v>
      </c>
      <c r="D21" s="37"/>
      <c r="H21" s="143" t="s">
        <v>385</v>
      </c>
      <c r="I21" s="143"/>
      <c r="J21" s="143"/>
      <c r="K21" s="143"/>
      <c r="M21" s="146" t="s">
        <v>386</v>
      </c>
    </row>
    <row r="22" spans="1:13" x14ac:dyDescent="0.25">
      <c r="A22" s="37" t="s">
        <v>359</v>
      </c>
      <c r="B22" s="38">
        <v>41.3</v>
      </c>
      <c r="C22" s="37" t="s">
        <v>357</v>
      </c>
      <c r="D22" s="37" t="s">
        <v>360</v>
      </c>
      <c r="H22" s="151" t="s">
        <v>387</v>
      </c>
      <c r="I22" s="151"/>
      <c r="J22" s="151"/>
      <c r="K22" s="151"/>
      <c r="M22" t="s">
        <v>388</v>
      </c>
    </row>
    <row r="23" spans="1:13" x14ac:dyDescent="0.25">
      <c r="H23" s="145" t="s">
        <v>389</v>
      </c>
      <c r="I23" s="99"/>
      <c r="M23" t="s">
        <v>390</v>
      </c>
    </row>
    <row r="24" spans="1:13" x14ac:dyDescent="0.25">
      <c r="H24" s="152" t="s">
        <v>418</v>
      </c>
      <c r="M24" s="153" t="s">
        <v>398</v>
      </c>
    </row>
    <row r="25" spans="1:13" x14ac:dyDescent="0.25">
      <c r="A25" s="1" t="s">
        <v>2</v>
      </c>
      <c r="B25" t="s">
        <v>323</v>
      </c>
    </row>
    <row r="26" spans="1:13" x14ac:dyDescent="0.25">
      <c r="A26" t="s">
        <v>378</v>
      </c>
      <c r="B26">
        <v>0</v>
      </c>
      <c r="C26" t="s">
        <v>379</v>
      </c>
      <c r="I26" t="s">
        <v>66</v>
      </c>
    </row>
    <row r="27" spans="1:13" x14ac:dyDescent="0.25">
      <c r="A27" t="s">
        <v>380</v>
      </c>
      <c r="B27">
        <v>0</v>
      </c>
      <c r="C27" t="s">
        <v>324</v>
      </c>
      <c r="H27" s="2"/>
    </row>
    <row r="28" spans="1:13" x14ac:dyDescent="0.25">
      <c r="A28" s="143" t="s">
        <v>381</v>
      </c>
      <c r="B28" s="143">
        <f>4.85*10^-3</f>
        <v>4.8500000000000001E-3</v>
      </c>
      <c r="C28" t="s">
        <v>325</v>
      </c>
      <c r="H28" t="s">
        <v>381</v>
      </c>
    </row>
    <row r="29" spans="1:13" x14ac:dyDescent="0.25">
      <c r="A29" t="s">
        <v>326</v>
      </c>
      <c r="B29">
        <v>25</v>
      </c>
      <c r="C29" t="s">
        <v>327</v>
      </c>
      <c r="D29" t="s">
        <v>328</v>
      </c>
    </row>
    <row r="31" spans="1:13" x14ac:dyDescent="0.25">
      <c r="A31" s="1" t="s">
        <v>299</v>
      </c>
      <c r="B31" t="s">
        <v>323</v>
      </c>
    </row>
    <row r="32" spans="1:13" x14ac:dyDescent="0.25">
      <c r="A32" t="s">
        <v>391</v>
      </c>
      <c r="B32" s="149">
        <v>0</v>
      </c>
      <c r="C32" t="s">
        <v>329</v>
      </c>
      <c r="H32" s="2"/>
    </row>
    <row r="33" spans="1:8" x14ac:dyDescent="0.25">
      <c r="A33" t="s">
        <v>392</v>
      </c>
      <c r="B33" s="149">
        <v>0</v>
      </c>
      <c r="C33" t="s">
        <v>330</v>
      </c>
      <c r="H33" s="2"/>
    </row>
    <row r="34" spans="1:8" outlineLevel="1" x14ac:dyDescent="0.25">
      <c r="B34" s="149"/>
    </row>
    <row r="35" spans="1:8" outlineLevel="1" x14ac:dyDescent="0.25">
      <c r="B35" s="149"/>
      <c r="H35" s="2"/>
    </row>
    <row r="36" spans="1:8" x14ac:dyDescent="0.25">
      <c r="A36" t="s">
        <v>326</v>
      </c>
      <c r="B36">
        <v>25</v>
      </c>
      <c r="C36" t="s">
        <v>327</v>
      </c>
      <c r="D36" t="s">
        <v>328</v>
      </c>
    </row>
    <row r="37" spans="1:8" x14ac:dyDescent="0.25">
      <c r="A37" s="143" t="s">
        <v>393</v>
      </c>
      <c r="B37" s="143">
        <v>0.55000000000000004</v>
      </c>
      <c r="C37" t="s">
        <v>331</v>
      </c>
    </row>
    <row r="38" spans="1:8" ht="15" customHeight="1" outlineLevel="1" x14ac:dyDescent="0.25">
      <c r="A38" s="143" t="s">
        <v>332</v>
      </c>
      <c r="B38">
        <v>3.1541E-3</v>
      </c>
      <c r="C38" t="s">
        <v>333</v>
      </c>
    </row>
    <row r="39" spans="1:8" x14ac:dyDescent="0.25">
      <c r="A39" s="143" t="s">
        <v>394</v>
      </c>
      <c r="B39" s="143">
        <v>2.1800000000000002</v>
      </c>
      <c r="C39" t="s">
        <v>325</v>
      </c>
    </row>
    <row r="41" spans="1:8" x14ac:dyDescent="0.25">
      <c r="A41" s="1" t="s">
        <v>10</v>
      </c>
      <c r="B41" t="s">
        <v>323</v>
      </c>
    </row>
    <row r="42" spans="1:8" x14ac:dyDescent="0.25">
      <c r="B42" s="149">
        <f>B33</f>
        <v>0</v>
      </c>
    </row>
    <row r="43" spans="1:8" x14ac:dyDescent="0.25">
      <c r="B43" s="149">
        <f>B32</f>
        <v>0</v>
      </c>
    </row>
    <row r="44" spans="1:8" x14ac:dyDescent="0.25">
      <c r="A44" s="143" t="s">
        <v>393</v>
      </c>
      <c r="B44" s="143">
        <v>0.55000000000000004</v>
      </c>
      <c r="C44" t="s">
        <v>331</v>
      </c>
    </row>
    <row r="45" spans="1:8" outlineLevel="1" x14ac:dyDescent="0.25">
      <c r="A45" s="143" t="s">
        <v>332</v>
      </c>
      <c r="B45">
        <v>3.1541E-3</v>
      </c>
      <c r="C45" t="s">
        <v>333</v>
      </c>
    </row>
    <row r="46" spans="1:8" x14ac:dyDescent="0.25">
      <c r="A46" s="143" t="s">
        <v>394</v>
      </c>
      <c r="B46" s="143">
        <f>B39</f>
        <v>2.1800000000000002</v>
      </c>
      <c r="C46" t="s">
        <v>325</v>
      </c>
    </row>
    <row r="48" spans="1:8" x14ac:dyDescent="0.25">
      <c r="A48" s="1" t="s">
        <v>305</v>
      </c>
      <c r="B48" t="s">
        <v>323</v>
      </c>
    </row>
    <row r="49" spans="1:20" x14ac:dyDescent="0.25">
      <c r="A49" t="s">
        <v>43</v>
      </c>
      <c r="B49" s="148">
        <f>B29*B20/1000/1000</f>
        <v>2.1276064043049335E-3</v>
      </c>
      <c r="C49" t="s">
        <v>335</v>
      </c>
    </row>
    <row r="50" spans="1:20" x14ac:dyDescent="0.25">
      <c r="A50" s="151" t="s">
        <v>395</v>
      </c>
      <c r="B50" s="154">
        <f>88/28.2</f>
        <v>3.1205673758865249</v>
      </c>
      <c r="C50" t="s">
        <v>342</v>
      </c>
      <c r="H50" t="s">
        <v>396</v>
      </c>
    </row>
    <row r="51" spans="1:20" x14ac:dyDescent="0.25">
      <c r="A51" t="s">
        <v>336</v>
      </c>
      <c r="B51" s="147">
        <v>2.3E-2</v>
      </c>
      <c r="C51" t="s">
        <v>337</v>
      </c>
      <c r="H51" t="s">
        <v>338</v>
      </c>
      <c r="I51" t="s">
        <v>373</v>
      </c>
      <c r="J51" t="s">
        <v>374</v>
      </c>
    </row>
    <row r="52" spans="1:20" x14ac:dyDescent="0.25">
      <c r="A52" t="s">
        <v>339</v>
      </c>
      <c r="B52">
        <v>1.4E-2</v>
      </c>
      <c r="C52" t="s">
        <v>340</v>
      </c>
      <c r="D52" s="147"/>
      <c r="H52" t="s">
        <v>338</v>
      </c>
      <c r="I52" t="s">
        <v>376</v>
      </c>
      <c r="J52" t="s">
        <v>375</v>
      </c>
    </row>
    <row r="54" spans="1:20" x14ac:dyDescent="0.25">
      <c r="A54" s="1" t="s">
        <v>12</v>
      </c>
      <c r="B54" t="s">
        <v>323</v>
      </c>
      <c r="J54" t="s">
        <v>341</v>
      </c>
      <c r="O54" t="s">
        <v>401</v>
      </c>
    </row>
    <row r="55" spans="1:20" x14ac:dyDescent="0.25">
      <c r="A55" t="s">
        <v>395</v>
      </c>
      <c r="B55" s="155">
        <f>H55/12*(12+2*16)</f>
        <v>1.7233333333333332</v>
      </c>
      <c r="C55" t="s">
        <v>342</v>
      </c>
      <c r="H55" s="100">
        <v>0.47</v>
      </c>
      <c r="I55" s="155" t="s">
        <v>343</v>
      </c>
      <c r="J55" t="s">
        <v>344</v>
      </c>
      <c r="K55" s="39">
        <v>0.53064864087554864</v>
      </c>
      <c r="L55" s="2"/>
      <c r="O55" t="s">
        <v>397</v>
      </c>
      <c r="S55" s="153" t="s">
        <v>398</v>
      </c>
      <c r="T55" s="152"/>
    </row>
    <row r="56" spans="1:20" x14ac:dyDescent="0.25">
      <c r="A56" s="152" t="s">
        <v>380</v>
      </c>
      <c r="B56" s="152">
        <f>22/1000*28*0.02</f>
        <v>1.2319999999999999E-2</v>
      </c>
      <c r="C56" s="9" t="s">
        <v>334</v>
      </c>
      <c r="D56" s="9"/>
      <c r="E56" s="9"/>
      <c r="F56" s="9"/>
      <c r="G56" s="9" t="s">
        <v>345</v>
      </c>
      <c r="J56" t="s">
        <v>346</v>
      </c>
      <c r="K56" s="39">
        <v>0.14136986127351384</v>
      </c>
      <c r="L56" s="2"/>
      <c r="O56" t="s">
        <v>399</v>
      </c>
      <c r="S56" t="s">
        <v>400</v>
      </c>
    </row>
    <row r="57" spans="1:20" x14ac:dyDescent="0.25">
      <c r="A57" t="s">
        <v>336</v>
      </c>
      <c r="B57" s="147">
        <v>2.3E-2</v>
      </c>
      <c r="C57" t="s">
        <v>337</v>
      </c>
      <c r="H57" t="s">
        <v>338</v>
      </c>
      <c r="I57" t="s">
        <v>373</v>
      </c>
      <c r="J57" t="s">
        <v>374</v>
      </c>
    </row>
    <row r="58" spans="1:20" x14ac:dyDescent="0.25">
      <c r="A58" t="s">
        <v>339</v>
      </c>
      <c r="B58">
        <v>1.4E-2</v>
      </c>
      <c r="C58" t="s">
        <v>340</v>
      </c>
      <c r="D58" s="147"/>
      <c r="H58" t="s">
        <v>338</v>
      </c>
      <c r="I58" t="s">
        <v>376</v>
      </c>
      <c r="J58" t="s">
        <v>375</v>
      </c>
    </row>
    <row r="60" spans="1:20" x14ac:dyDescent="0.25">
      <c r="A60" s="1" t="s">
        <v>311</v>
      </c>
      <c r="J60" t="s">
        <v>341</v>
      </c>
    </row>
    <row r="61" spans="1:20" x14ac:dyDescent="0.25">
      <c r="A61" s="151" t="s">
        <v>395</v>
      </c>
      <c r="B61" s="151">
        <f>88/28.2</f>
        <v>3.1205673758865249</v>
      </c>
      <c r="C61" t="s">
        <v>342</v>
      </c>
      <c r="J61" t="s">
        <v>344</v>
      </c>
      <c r="K61" s="39">
        <v>0.53064864087554864</v>
      </c>
    </row>
    <row r="62" spans="1:20" x14ac:dyDescent="0.25">
      <c r="A62" s="152" t="s">
        <v>380</v>
      </c>
      <c r="B62" s="156">
        <f>B56</f>
        <v>1.2319999999999999E-2</v>
      </c>
      <c r="C62" t="s">
        <v>334</v>
      </c>
      <c r="J62" t="s">
        <v>346</v>
      </c>
      <c r="K62" s="39">
        <v>0.14136986127351384</v>
      </c>
    </row>
    <row r="63" spans="1:20" x14ac:dyDescent="0.25">
      <c r="A63" t="s">
        <v>336</v>
      </c>
      <c r="B63" s="147">
        <v>2.3E-2</v>
      </c>
      <c r="C63" t="s">
        <v>337</v>
      </c>
      <c r="H63" t="s">
        <v>338</v>
      </c>
      <c r="I63" t="s">
        <v>373</v>
      </c>
      <c r="J63" t="s">
        <v>374</v>
      </c>
    </row>
    <row r="64" spans="1:20" x14ac:dyDescent="0.25">
      <c r="A64" t="s">
        <v>339</v>
      </c>
      <c r="B64">
        <v>1.4E-2</v>
      </c>
      <c r="C64" t="s">
        <v>340</v>
      </c>
      <c r="D64" s="147"/>
      <c r="H64" t="s">
        <v>338</v>
      </c>
      <c r="I64" t="s">
        <v>376</v>
      </c>
      <c r="J64" t="s">
        <v>375</v>
      </c>
    </row>
    <row r="66" spans="1:19" x14ac:dyDescent="0.25">
      <c r="A66" s="1" t="s">
        <v>407</v>
      </c>
    </row>
    <row r="67" spans="1:19" x14ac:dyDescent="0.25">
      <c r="A67" s="151" t="s">
        <v>395</v>
      </c>
      <c r="B67" s="151">
        <f>88/28.2</f>
        <v>3.1205673758865249</v>
      </c>
      <c r="C67" t="s">
        <v>347</v>
      </c>
      <c r="R67" s="145" t="s">
        <v>402</v>
      </c>
      <c r="S67" t="s">
        <v>390</v>
      </c>
    </row>
    <row r="68" spans="1:19" x14ac:dyDescent="0.25">
      <c r="A68" s="145" t="s">
        <v>403</v>
      </c>
      <c r="B68" s="157">
        <f>R69</f>
        <v>0.83330000000000004</v>
      </c>
      <c r="C68" t="s">
        <v>348</v>
      </c>
      <c r="J68" t="s">
        <v>341</v>
      </c>
      <c r="Q68" t="s">
        <v>404</v>
      </c>
      <c r="R68">
        <v>3.5</v>
      </c>
    </row>
    <row r="69" spans="1:19" x14ac:dyDescent="0.25">
      <c r="A69" s="143" t="s">
        <v>405</v>
      </c>
      <c r="B69" s="158">
        <v>1.92</v>
      </c>
      <c r="C69" t="s">
        <v>325</v>
      </c>
      <c r="J69" t="s">
        <v>344</v>
      </c>
      <c r="K69" s="39">
        <v>0.53064864087554864</v>
      </c>
      <c r="Q69" t="s">
        <v>406</v>
      </c>
      <c r="R69">
        <v>0.83330000000000004</v>
      </c>
    </row>
    <row r="70" spans="1:19" x14ac:dyDescent="0.25">
      <c r="A70" t="s">
        <v>336</v>
      </c>
      <c r="B70" s="147">
        <v>2.3E-2</v>
      </c>
      <c r="C70" t="s">
        <v>337</v>
      </c>
      <c r="H70" t="s">
        <v>338</v>
      </c>
      <c r="J70" t="s">
        <v>346</v>
      </c>
      <c r="K70" s="39">
        <v>0.14136986127351384</v>
      </c>
    </row>
    <row r="71" spans="1:19" x14ac:dyDescent="0.25">
      <c r="A71" t="s">
        <v>339</v>
      </c>
      <c r="B71">
        <v>1.4E-2</v>
      </c>
      <c r="C71" t="s">
        <v>340</v>
      </c>
      <c r="D71" s="147"/>
      <c r="H71" t="s">
        <v>338</v>
      </c>
      <c r="I71" t="s">
        <v>373</v>
      </c>
      <c r="J71" t="s">
        <v>374</v>
      </c>
    </row>
    <row r="72" spans="1:19" x14ac:dyDescent="0.25">
      <c r="I72" t="s">
        <v>376</v>
      </c>
      <c r="J72" t="s">
        <v>375</v>
      </c>
    </row>
    <row r="73" spans="1:19" x14ac:dyDescent="0.25">
      <c r="A73" s="1" t="s">
        <v>233</v>
      </c>
    </row>
    <row r="74" spans="1:19" x14ac:dyDescent="0.25">
      <c r="A74" t="s">
        <v>43</v>
      </c>
      <c r="B74" s="148">
        <f>25*B20/1000/1000</f>
        <v>2.1276064043049335E-3</v>
      </c>
      <c r="C74" t="s">
        <v>334</v>
      </c>
    </row>
    <row r="75" spans="1:19" x14ac:dyDescent="0.25">
      <c r="B75" s="159">
        <v>0.52</v>
      </c>
      <c r="C75" t="s">
        <v>349</v>
      </c>
    </row>
    <row r="76" spans="1:19" x14ac:dyDescent="0.25">
      <c r="B76" s="143">
        <v>10</v>
      </c>
      <c r="C76" t="s">
        <v>325</v>
      </c>
    </row>
    <row r="78" spans="1:19" x14ac:dyDescent="0.25">
      <c r="A78" s="1" t="s">
        <v>237</v>
      </c>
      <c r="B78" t="s">
        <v>419</v>
      </c>
      <c r="C78" t="s">
        <v>420</v>
      </c>
      <c r="H78" s="146" t="s">
        <v>421</v>
      </c>
    </row>
    <row r="79" spans="1:19" x14ac:dyDescent="0.25">
      <c r="B79">
        <f>0+0.00106+0.61</f>
        <v>0.61105999999999994</v>
      </c>
      <c r="C79">
        <v>0</v>
      </c>
      <c r="H79" s="144"/>
    </row>
    <row r="80" spans="1:19" x14ac:dyDescent="0.25">
      <c r="H80" s="144"/>
    </row>
    <row r="81" spans="1:11" x14ac:dyDescent="0.25">
      <c r="H81" s="144"/>
    </row>
    <row r="83" spans="1:11" x14ac:dyDescent="0.25">
      <c r="A83" s="1" t="s">
        <v>275</v>
      </c>
    </row>
    <row r="84" spans="1:11" x14ac:dyDescent="0.25">
      <c r="A84" s="151" t="s">
        <v>395</v>
      </c>
      <c r="B84" s="151">
        <f>88/28.2</f>
        <v>3.1205673758865249</v>
      </c>
      <c r="C84" t="s">
        <v>350</v>
      </c>
      <c r="J84" t="s">
        <v>341</v>
      </c>
    </row>
    <row r="85" spans="1:11" x14ac:dyDescent="0.25">
      <c r="A85" s="152" t="s">
        <v>380</v>
      </c>
      <c r="B85" s="156">
        <f>B56</f>
        <v>1.2319999999999999E-2</v>
      </c>
      <c r="C85" t="s">
        <v>351</v>
      </c>
      <c r="J85" t="s">
        <v>344</v>
      </c>
      <c r="K85" s="39">
        <v>0.53064864087554864</v>
      </c>
    </row>
    <row r="86" spans="1:11" x14ac:dyDescent="0.25">
      <c r="A86" t="s">
        <v>336</v>
      </c>
      <c r="B86" s="147">
        <v>2.3E-2</v>
      </c>
      <c r="C86" t="s">
        <v>337</v>
      </c>
      <c r="H86" t="s">
        <v>338</v>
      </c>
      <c r="J86" t="s">
        <v>346</v>
      </c>
      <c r="K86" s="39">
        <v>0.14136986127351384</v>
      </c>
    </row>
    <row r="87" spans="1:11" x14ac:dyDescent="0.25">
      <c r="A87" t="s">
        <v>339</v>
      </c>
      <c r="B87">
        <v>1.4E-2</v>
      </c>
      <c r="C87" t="s">
        <v>340</v>
      </c>
      <c r="D87" s="147"/>
      <c r="H87" t="s">
        <v>338</v>
      </c>
      <c r="I87" t="s">
        <v>373</v>
      </c>
      <c r="J87" t="s">
        <v>374</v>
      </c>
    </row>
    <row r="88" spans="1:11" x14ac:dyDescent="0.25">
      <c r="I88" t="s">
        <v>376</v>
      </c>
      <c r="J88" t="s">
        <v>375</v>
      </c>
    </row>
    <row r="89" spans="1:11" x14ac:dyDescent="0.25">
      <c r="A89" s="1" t="s">
        <v>16</v>
      </c>
    </row>
    <row r="90" spans="1:11" x14ac:dyDescent="0.25">
      <c r="I90" t="s">
        <v>352</v>
      </c>
    </row>
    <row r="91" spans="1:11" x14ac:dyDescent="0.25">
      <c r="A91" s="152" t="s">
        <v>380</v>
      </c>
      <c r="B91" s="156">
        <f>B85</f>
        <v>1.2319999999999999E-2</v>
      </c>
      <c r="C91" t="s">
        <v>334</v>
      </c>
      <c r="I91" s="144">
        <v>0.7</v>
      </c>
      <c r="J91" t="s">
        <v>353</v>
      </c>
    </row>
    <row r="92" spans="1:11" x14ac:dyDescent="0.25">
      <c r="A92" s="143" t="s">
        <v>381</v>
      </c>
      <c r="B92" s="143">
        <f>4.85*10^-3</f>
        <v>4.8500000000000001E-3</v>
      </c>
      <c r="C92" t="s">
        <v>354</v>
      </c>
      <c r="I92" s="144">
        <f>1-I91</f>
        <v>0.30000000000000004</v>
      </c>
      <c r="J92" t="s">
        <v>355</v>
      </c>
    </row>
    <row r="94" spans="1:11" x14ac:dyDescent="0.25">
      <c r="A94" s="1" t="s">
        <v>321</v>
      </c>
    </row>
    <row r="95" spans="1:11" x14ac:dyDescent="0.25">
      <c r="A95" s="152" t="s">
        <v>380</v>
      </c>
      <c r="B95" s="156">
        <f>B85</f>
        <v>1.2319999999999999E-2</v>
      </c>
      <c r="C95" t="s">
        <v>334</v>
      </c>
    </row>
    <row r="97" spans="1:19" x14ac:dyDescent="0.25">
      <c r="A97" s="1" t="s">
        <v>320</v>
      </c>
      <c r="R97" s="145" t="s">
        <v>320</v>
      </c>
      <c r="S97" t="s">
        <v>390</v>
      </c>
    </row>
    <row r="98" spans="1:19" x14ac:dyDescent="0.25">
      <c r="A98" s="160" t="s">
        <v>408</v>
      </c>
      <c r="B98" s="145">
        <f>R98</f>
        <v>0.47499999999999998</v>
      </c>
      <c r="C98" t="s">
        <v>409</v>
      </c>
      <c r="Q98" t="s">
        <v>410</v>
      </c>
      <c r="R98">
        <v>0.47499999999999998</v>
      </c>
    </row>
    <row r="99" spans="1:19" x14ac:dyDescent="0.25">
      <c r="A99" s="161" t="s">
        <v>380</v>
      </c>
      <c r="B99" s="156">
        <f>B95</f>
        <v>1.2319999999999999E-2</v>
      </c>
      <c r="C99" t="s">
        <v>334</v>
      </c>
    </row>
    <row r="100" spans="1:19" x14ac:dyDescent="0.25">
      <c r="A100" s="143" t="s">
        <v>411</v>
      </c>
      <c r="B100" s="143">
        <v>1</v>
      </c>
      <c r="C100" t="s">
        <v>325</v>
      </c>
    </row>
  </sheetData>
  <sheetProtection algorithmName="SHA-512" hashValue="mairEjDq56J8NHUgCiushumsSI+9saWjEtMDEa7ESOL1XM5ew0zA24vmJvcQyhH1hmEg74USLNhXEuxgdJmoEw==" saltValue="g5slzyC90MHbE6DIL9XdGg==" spinCount="100000" sheet="1" objects="1" scenarios="1"/>
  <hyperlinks>
    <hyperlink ref="M21" r:id="rId1" xr:uid="{734AE9DF-5288-42F4-A008-1BAFC9CCDA39}"/>
    <hyperlink ref="H78" r:id="rId2" xr:uid="{F3E33113-C661-4660-803D-7E6180C811F5}"/>
    <hyperlink ref="I18" r:id="rId3" xr:uid="{F97637A9-49DA-4FF9-9AE1-0980B76EBC08}"/>
    <hyperlink ref="I19" r:id="rId4" xr:uid="{4A64B8E5-0EDF-4E0C-87BF-1A2C8A980EB5}"/>
    <hyperlink ref="S55" r:id="rId5" xr:uid="{1625EDF9-CCB3-4C51-84EF-5C657845772D}"/>
    <hyperlink ref="M24" r:id="rId6" xr:uid="{918E2E7B-ABC0-461A-B1CD-7AC3E9893978}"/>
  </hyperlinks>
  <pageMargins left="0.7" right="0.7" top="0.78740157499999996" bottom="0.78740157499999996" header="0.3" footer="0.3"/>
  <pageSetup paperSize="9" orientation="portrait" r:id="rId7"/>
  <drawing r:id="rId8"/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8A14644E82B84E961AE4815488DB75" ma:contentTypeVersion="3" ma:contentTypeDescription="Ein neues Dokument erstellen." ma:contentTypeScope="" ma:versionID="fe892ea7bf71d6e1755aeafed70c069e">
  <xsd:schema xmlns:xsd="http://www.w3.org/2001/XMLSchema" xmlns:xs="http://www.w3.org/2001/XMLSchema" xmlns:p="http://schemas.microsoft.com/office/2006/metadata/properties" xmlns:ns2="d7d67651-dabb-4942-a920-bbd8d1865ca3" xmlns:ns3="0ca66001-fc9a-4c3c-9061-a293c2d89eaa" targetNamespace="http://schemas.microsoft.com/office/2006/metadata/properties" ma:root="true" ma:fieldsID="2e1acabdb1478522872e2a378d965817" ns2:_="" ns3:_="">
    <xsd:import namespace="d7d67651-dabb-4942-a920-bbd8d1865ca3"/>
    <xsd:import namespace="0ca66001-fc9a-4c3c-9061-a293c2d89e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hp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67651-dabb-4942-a920-bbd8d1865c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66001-fc9a-4c3c-9061-a293c2d89eaa" elementFormDefault="qualified">
    <xsd:import namespace="http://schemas.microsoft.com/office/2006/documentManagement/types"/>
    <xsd:import namespace="http://schemas.microsoft.com/office/infopath/2007/PartnerControls"/>
    <xsd:element name="hpsTasks" ma:index="9" nillable="true" ma:displayName="Arbeitspakete" ma:list="{94818b2c-c1d6-420e-9716-17fc3a74c162}" ma:internalName="hpsTasks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psTasks xmlns="0ca66001-fc9a-4c3c-9061-a293c2d89eaa" xsi:nil="true"/>
  </documentManagement>
</p:properties>
</file>

<file path=customXml/itemProps1.xml><?xml version="1.0" encoding="utf-8"?>
<ds:datastoreItem xmlns:ds="http://schemas.openxmlformats.org/officeDocument/2006/customXml" ds:itemID="{12DAC37F-5A7B-46CE-8850-D5FED46AD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A47A3A-7F31-4337-B3A3-B77A8D2E8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67651-dabb-4942-a920-bbd8d1865ca3"/>
    <ds:schemaRef ds:uri="0ca66001-fc9a-4c3c-9061-a293c2d89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AC0AC7-6882-45A9-9AB7-8F85EDB8A663}">
  <ds:schemaRefs>
    <ds:schemaRef ds:uri="0ca66001-fc9a-4c3c-9061-a293c2d89eaa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7d67651-dabb-4942-a920-bbd8d1865ca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39</vt:i4>
      </vt:variant>
    </vt:vector>
  </HeadingPairs>
  <TitlesOfParts>
    <vt:vector size="41" baseType="lpstr">
      <vt:lpstr>GWP-Katalog</vt:lpstr>
      <vt:lpstr>ModulCD</vt:lpstr>
      <vt:lpstr>AbdichtungFestListe</vt:lpstr>
      <vt:lpstr>AbdichtungFluessigListe</vt:lpstr>
      <vt:lpstr>AsphaltbinderListe</vt:lpstr>
      <vt:lpstr>AsphaltdeckschichtListe</vt:lpstr>
      <vt:lpstr>AsphalttragschichtListe</vt:lpstr>
      <vt:lpstr>BaustahlListe</vt:lpstr>
      <vt:lpstr>BeschichtungPhaseAListe</vt:lpstr>
      <vt:lpstr>BeschichtungPhaseBListe</vt:lpstr>
      <vt:lpstr>BetonListe</vt:lpstr>
      <vt:lpstr>BetonstahlListe</vt:lpstr>
      <vt:lpstr>bituminöser_Gesamtaufbau</vt:lpstr>
      <vt:lpstr>BLWListe</vt:lpstr>
      <vt:lpstr>'GWP-Katalog'!Druckbereich</vt:lpstr>
      <vt:lpstr>ElastomerlagerListe</vt:lpstr>
      <vt:lpstr>ErdbauListe</vt:lpstr>
      <vt:lpstr>FUEGListe</vt:lpstr>
      <vt:lpstr>GelaenderAluBeschichtetListe</vt:lpstr>
      <vt:lpstr>GelaenderAluEloxiertListe</vt:lpstr>
      <vt:lpstr>GelaenderEdelstahlListe</vt:lpstr>
      <vt:lpstr>GelaenderHolzListe</vt:lpstr>
      <vt:lpstr>GeogitterListe</vt:lpstr>
      <vt:lpstr>HinterfuellmaterialListe</vt:lpstr>
      <vt:lpstr>HolzListe</vt:lpstr>
      <vt:lpstr>LSSockelbrettListe</vt:lpstr>
      <vt:lpstr>LSWListe</vt:lpstr>
      <vt:lpstr>OberbetonListe</vt:lpstr>
      <vt:lpstr>PflastersteineListe</vt:lpstr>
      <vt:lpstr>RohrmaterialListe</vt:lpstr>
      <vt:lpstr>SLWListe</vt:lpstr>
      <vt:lpstr>SpannstahlListe</vt:lpstr>
      <vt:lpstr>SpritzschutzListe</vt:lpstr>
      <vt:lpstr>SpundwandListe</vt:lpstr>
      <vt:lpstr>StrassenbelagGesamtListe</vt:lpstr>
      <vt:lpstr>TopflagerListe</vt:lpstr>
      <vt:lpstr>UnterbetonListe</vt:lpstr>
      <vt:lpstr>UOTragschichtListe</vt:lpstr>
      <vt:lpstr>UUTragschichtListe</vt:lpstr>
      <vt:lpstr>VerfugungListe</vt:lpstr>
      <vt:lpstr>WandListe</vt:lpstr>
    </vt:vector>
  </TitlesOfParts>
  <Company>FCP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BGruber-FCP</dc:creator>
  <cp:lastModifiedBy>Helga Barkow</cp:lastModifiedBy>
  <cp:revision/>
  <cp:lastPrinted>2023-06-30T09:12:41Z</cp:lastPrinted>
  <dcterms:created xsi:type="dcterms:W3CDTF">2018-05-14T06:03:05Z</dcterms:created>
  <dcterms:modified xsi:type="dcterms:W3CDTF">2025-04-24T11:17:31Z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0x0101006D8A14644E82B84E961AE4815488DB75</vt:lpwstr>
  </property>
</Properties>
</file>